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75" windowWidth="15210" windowHeight="10500" activeTab="0"/>
  </bookViews>
  <sheets>
    <sheet name="Calculation" sheetId="1" r:id="rId1"/>
    <sheet name="Ch 8' Pull" sheetId="2" r:id="rId2"/>
    <sheet name="Ch 8' Stress" sheetId="3" r:id="rId3"/>
    <sheet name="Ch 4' Pull" sheetId="4" r:id="rId4"/>
    <sheet name="Ch 4' Stress" sheetId="5" r:id="rId5"/>
  </sheets>
  <definedNames>
    <definedName name="__123Graph_A" hidden="1">'Calculation'!#REF!</definedName>
    <definedName name="__123Graph_AENESPEC" hidden="1">'Calculation'!#REF!</definedName>
    <definedName name="__123Graph_AENTOTAL" hidden="1">'Calculation'!#REF!</definedName>
    <definedName name="__123Graph_B" hidden="1">'Calculation'!#REF!</definedName>
    <definedName name="__123Graph_BENESPEC" hidden="1">'Calculation'!$AM$8:$AM$68</definedName>
    <definedName name="__123Graph_BENTOTAL" hidden="1">'Calculation'!#REF!</definedName>
    <definedName name="__123Graph_X" hidden="1">'Calculation'!$AM$8:$AM$68</definedName>
    <definedName name="__123Graph_XENESPEC" hidden="1">'Calculation'!$AM$8:$AM$68</definedName>
    <definedName name="__123Graph_XENTOTAL" hidden="1">'Calculation'!$AM$8:$AM$68</definedName>
    <definedName name="_xlnm.Print_Area" localSheetId="0">'Calculation'!$A$1:$AM$68</definedName>
    <definedName name="Print_Area_MI" localSheetId="0">'Calculation'!$A$1:$AM$68</definedName>
  </definedNames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H3" authorId="0">
      <text>
        <r>
          <rPr>
            <sz val="10"/>
            <rFont val="Tahoma"/>
            <family val="2"/>
          </rPr>
          <t>Enter the desired tuning fork frequency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sz val="10"/>
            <rFont val="Tahoma"/>
            <family val="2"/>
          </rPr>
          <t>Enter the number of 8' choirs</t>
        </r>
      </text>
    </comment>
    <comment ref="E3" authorId="0">
      <text>
        <r>
          <rPr>
            <sz val="10"/>
            <rFont val="Tahoma"/>
            <family val="2"/>
          </rPr>
          <t>Enter a 1 above the desired temperament: leave the other 3 cells blank.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10"/>
            <rFont val="Tahoma"/>
            <family val="2"/>
          </rPr>
          <t xml:space="preserve">Enter a 1 above the desired temperament: leave the other 3 cells blank. </t>
        </r>
        <r>
          <rPr>
            <b/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10"/>
            <rFont val="Tahoma"/>
            <family val="2"/>
          </rPr>
          <t xml:space="preserve">Enter a 1 above the desired temperament: leave the other 3 cells blank. </t>
        </r>
      </text>
    </comment>
    <comment ref="B3" authorId="0">
      <text>
        <r>
          <rPr>
            <sz val="10"/>
            <rFont val="Tahoma"/>
            <family val="2"/>
          </rPr>
          <t xml:space="preserve">Enter a 1 above the desired temperament: leave the other 3 cells blank. </t>
        </r>
      </text>
    </comment>
  </commentList>
</comments>
</file>

<file path=xl/sharedStrings.xml><?xml version="1.0" encoding="utf-8"?>
<sst xmlns="http://schemas.openxmlformats.org/spreadsheetml/2006/main" count="358" uniqueCount="151">
  <si>
    <t xml:space="preserve"> Hz</t>
  </si>
  <si>
    <t xml:space="preserve"> mm</t>
  </si>
  <si>
    <t>FF</t>
  </si>
  <si>
    <t>FF#</t>
  </si>
  <si>
    <t>GG</t>
  </si>
  <si>
    <t>GG#</t>
  </si>
  <si>
    <t>AA</t>
  </si>
  <si>
    <t>BBb</t>
  </si>
  <si>
    <t>BB</t>
  </si>
  <si>
    <t>C</t>
  </si>
  <si>
    <t>C#</t>
  </si>
  <si>
    <t>D</t>
  </si>
  <si>
    <t>Eb</t>
  </si>
  <si>
    <t>E</t>
  </si>
  <si>
    <t>F</t>
  </si>
  <si>
    <t>F#</t>
  </si>
  <si>
    <t>G</t>
  </si>
  <si>
    <t>G#</t>
  </si>
  <si>
    <t>A</t>
  </si>
  <si>
    <t>Bb</t>
  </si>
  <si>
    <t>B</t>
  </si>
  <si>
    <t>c</t>
  </si>
  <si>
    <t>c#</t>
  </si>
  <si>
    <t>d</t>
  </si>
  <si>
    <t>eb</t>
  </si>
  <si>
    <t>e</t>
  </si>
  <si>
    <t>f</t>
  </si>
  <si>
    <t>f#</t>
  </si>
  <si>
    <t>g</t>
  </si>
  <si>
    <t>g#</t>
  </si>
  <si>
    <t>a</t>
  </si>
  <si>
    <t>bb</t>
  </si>
  <si>
    <t>b</t>
  </si>
  <si>
    <t>c '</t>
  </si>
  <si>
    <t>c#'</t>
  </si>
  <si>
    <t>d '</t>
  </si>
  <si>
    <t>eb'</t>
  </si>
  <si>
    <t xml:space="preserve">e ' </t>
  </si>
  <si>
    <t>f '</t>
  </si>
  <si>
    <t>f'</t>
  </si>
  <si>
    <t>f#'</t>
  </si>
  <si>
    <t>g '</t>
  </si>
  <si>
    <t>g'</t>
  </si>
  <si>
    <t>g#'</t>
  </si>
  <si>
    <t>a '</t>
  </si>
  <si>
    <t>a'</t>
  </si>
  <si>
    <t>bb'</t>
  </si>
  <si>
    <t xml:space="preserve">b ' </t>
  </si>
  <si>
    <t>c "</t>
  </si>
  <si>
    <t>c#"</t>
  </si>
  <si>
    <t>d "</t>
  </si>
  <si>
    <t>eb"</t>
  </si>
  <si>
    <t>e "</t>
  </si>
  <si>
    <t>f "</t>
  </si>
  <si>
    <t>f"</t>
  </si>
  <si>
    <t>f#"</t>
  </si>
  <si>
    <t>g "</t>
  </si>
  <si>
    <t>g"</t>
  </si>
  <si>
    <t>g#"</t>
  </si>
  <si>
    <t>a "</t>
  </si>
  <si>
    <t>a"</t>
  </si>
  <si>
    <t>bb"</t>
  </si>
  <si>
    <t>b "</t>
  </si>
  <si>
    <t>c "'</t>
  </si>
  <si>
    <t>c#"'</t>
  </si>
  <si>
    <t>d "'</t>
  </si>
  <si>
    <t>eb"'</t>
  </si>
  <si>
    <t>e "'</t>
  </si>
  <si>
    <t>f "'</t>
  </si>
  <si>
    <t>f"'</t>
  </si>
  <si>
    <t>Note</t>
  </si>
  <si>
    <t>Length</t>
  </si>
  <si>
    <t>Pull</t>
  </si>
  <si>
    <t>Kg</t>
  </si>
  <si>
    <t>Size</t>
  </si>
  <si>
    <t>Alloy</t>
  </si>
  <si>
    <t>inches</t>
  </si>
  <si>
    <t>b'</t>
  </si>
  <si>
    <t>b"</t>
  </si>
  <si>
    <t>Chart</t>
  </si>
  <si>
    <t>Axis</t>
  </si>
  <si>
    <t>--------- 4' Choir and Calculations --------</t>
  </si>
  <si>
    <t>Break</t>
  </si>
  <si>
    <t>Red Brass</t>
  </si>
  <si>
    <t>Yellow Brass</t>
  </si>
  <si>
    <t>RB24</t>
  </si>
  <si>
    <t>RB22</t>
  </si>
  <si>
    <t>RB20</t>
  </si>
  <si>
    <t>RB18</t>
  </si>
  <si>
    <t>RB16</t>
  </si>
  <si>
    <t>RB14</t>
  </si>
  <si>
    <t>RB26</t>
  </si>
  <si>
    <t>YB20</t>
  </si>
  <si>
    <t>YB18</t>
  </si>
  <si>
    <t>YB16</t>
  </si>
  <si>
    <t>YB14</t>
  </si>
  <si>
    <t>YB13</t>
  </si>
  <si>
    <t>YB12</t>
  </si>
  <si>
    <t>TOTAL both 8'</t>
  </si>
  <si>
    <t>RB</t>
  </si>
  <si>
    <t>YB</t>
  </si>
  <si>
    <t>Kg/mm2</t>
  </si>
  <si>
    <t>Envolvent</t>
  </si>
  <si>
    <t>Smooth</t>
  </si>
  <si>
    <t>Lower</t>
  </si>
  <si>
    <t>Upper</t>
  </si>
  <si>
    <t>Ave.</t>
  </si>
  <si>
    <t>YB11</t>
  </si>
  <si>
    <t>HARPSICHORD STRINGING LIST CALCULATOR FOR REPLICAS OF TASKIN</t>
  </si>
  <si>
    <t>Risk</t>
  </si>
  <si>
    <t>--------- Long 8' Choir and Calculations --------</t>
  </si>
  <si>
    <t>000PSI</t>
  </si>
  <si>
    <t>1 Mpa</t>
  </si>
  <si>
    <t>1 PSI =</t>
  </si>
  <si>
    <t>Iron</t>
  </si>
  <si>
    <t>Steel</t>
  </si>
  <si>
    <t>a'=Hz :</t>
  </si>
  <si>
    <t>Density</t>
  </si>
  <si>
    <t>Kg/lt</t>
  </si>
  <si>
    <t>8' Choirs (enter 1 or 2):</t>
  </si>
  <si>
    <t>------- Frequency in Hz -------</t>
  </si>
  <si>
    <t>Mean.</t>
  </si>
  <si>
    <t>Rouss.</t>
  </si>
  <si>
    <t>Vall.</t>
  </si>
  <si>
    <t>E.T.</t>
  </si>
  <si>
    <t>Sel.</t>
  </si>
  <si>
    <t>Total 4':</t>
  </si>
  <si>
    <t>Kgs</t>
  </si>
  <si>
    <t>TOTAL PULL OF ALL THE CHOIRS:</t>
  </si>
  <si>
    <t>Stress</t>
  </si>
  <si>
    <t>IR</t>
  </si>
  <si>
    <t>IR11</t>
  </si>
  <si>
    <t>IR13</t>
  </si>
  <si>
    <t>IR12</t>
  </si>
  <si>
    <t>IR10</t>
  </si>
  <si>
    <t>IR09</t>
  </si>
  <si>
    <t>IR14</t>
  </si>
  <si>
    <t>IR08</t>
  </si>
  <si>
    <t>ST</t>
  </si>
  <si>
    <t>ST09</t>
  </si>
  <si>
    <t>ST08</t>
  </si>
  <si>
    <t>ST07</t>
  </si>
  <si>
    <t>Wire</t>
  </si>
  <si>
    <t>WIRE ALLOYS AND SIZES</t>
  </si>
  <si>
    <t>Only fields in blue should be filled with data: initially they are for a Hubbard 1972 kit and wire from www.fortepiano.com. You may use any other values.</t>
  </si>
  <si>
    <t>Copyright Claudio Di Veroli 2010</t>
  </si>
  <si>
    <t>mm</t>
  </si>
  <si>
    <t>compa-</t>
  </si>
  <si>
    <t>rison</t>
  </si>
  <si>
    <t>Free for</t>
  </si>
  <si>
    <r>
      <t>Kg/mm</t>
    </r>
    <r>
      <rPr>
        <vertAlign val="superscript"/>
        <sz val="12"/>
        <rFont val="Arial Narrow"/>
        <family val="2"/>
      </rPr>
      <t>2</t>
    </r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</si>
</sst>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0_)"/>
    <numFmt numFmtId="170" formatCode="0.0_)"/>
    <numFmt numFmtId="171" formatCode="0.00000000_)"/>
    <numFmt numFmtId="172" formatCode="0.000_)"/>
    <numFmt numFmtId="173" formatCode="0.0000_)"/>
    <numFmt numFmtId="174" formatCode="_(* #,##0.0_);_(* \(#,##0.0\);_(* &quot;-&quot;??_);_(@_)"/>
    <numFmt numFmtId="175" formatCode="_(* #,##0_);_(* \(#,##0\);_(* &quot;-&quot;??_);_(@_)"/>
    <numFmt numFmtId="176" formatCode=".000_)"/>
    <numFmt numFmtId="177" formatCode="0.0"/>
    <numFmt numFmtId="178" formatCode="0.0%"/>
    <numFmt numFmtId="179" formatCode="0.000"/>
    <numFmt numFmtId="180" formatCode="#,##0.00000;[Red]\-#,##0.00000"/>
    <numFmt numFmtId="181" formatCode="\+#,##0;[Red]\-#,##0"/>
    <numFmt numFmtId="182" formatCode="\+#,##0;\-#,##0"/>
    <numFmt numFmtId="183" formatCode="0.000000_)"/>
    <numFmt numFmtId="184" formatCode="0.00000_)"/>
    <numFmt numFmtId="185" formatCode="#,##0.0000;[Red]\-#,##0.0000"/>
    <numFmt numFmtId="186" formatCode="#,##0.000;[Red]\-#,##0.000"/>
    <numFmt numFmtId="187" formatCode="#,##0.0;[Red]\-#,##0.0"/>
  </numFmts>
  <fonts count="3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Helv"/>
      <family val="0"/>
    </font>
    <font>
      <b/>
      <sz val="12"/>
      <color indexed="8"/>
      <name val="Helv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 Narrow"/>
      <family val="2"/>
    </font>
    <font>
      <sz val="12"/>
      <color indexed="8"/>
      <name val="Arial Narrow"/>
      <family val="2"/>
    </font>
    <font>
      <sz val="10.25"/>
      <name val="Arial"/>
      <family val="0"/>
    </font>
    <font>
      <b/>
      <sz val="9"/>
      <name val="Arial Narrow"/>
      <family val="2"/>
    </font>
    <font>
      <b/>
      <sz val="12"/>
      <color indexed="8"/>
      <name val="Arial Narrow"/>
      <family val="2"/>
    </font>
    <font>
      <b/>
      <sz val="12"/>
      <color indexed="16"/>
      <name val="Helv"/>
      <family val="0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2"/>
      <color indexed="8"/>
      <name val="Verdana"/>
      <family val="2"/>
    </font>
    <font>
      <b/>
      <sz val="12"/>
      <color indexed="10"/>
      <name val="Arial Narrow"/>
      <family val="2"/>
    </font>
    <font>
      <b/>
      <sz val="12"/>
      <color indexed="52"/>
      <name val="Arial Narrow"/>
      <family val="2"/>
    </font>
    <font>
      <b/>
      <sz val="12"/>
      <color indexed="11"/>
      <name val="Arial Narrow"/>
      <family val="2"/>
    </font>
    <font>
      <b/>
      <sz val="12"/>
      <color indexed="48"/>
      <name val="Arial Narrow"/>
      <family val="2"/>
    </font>
    <font>
      <sz val="12"/>
      <color indexed="8"/>
      <name val="Arial"/>
      <family val="2"/>
    </font>
    <font>
      <b/>
      <sz val="12"/>
      <color indexed="14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vertAlign val="superscript"/>
      <sz val="12"/>
      <name val="Arial Narrow"/>
      <family val="2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1">
    <xf numFmtId="169" fontId="0" fillId="0" borderId="0" xfId="0" applyAlignment="1">
      <alignment/>
    </xf>
    <xf numFmtId="169" fontId="5" fillId="0" borderId="0" xfId="0" applyNumberFormat="1" applyFont="1" applyAlignment="1" applyProtection="1">
      <alignment/>
      <protection locked="0"/>
    </xf>
    <xf numFmtId="169" fontId="5" fillId="0" borderId="0" xfId="0" applyFont="1" applyAlignment="1" applyProtection="1">
      <alignment/>
      <protection locked="0"/>
    </xf>
    <xf numFmtId="169" fontId="0" fillId="0" borderId="0" xfId="0" applyAlignment="1">
      <alignment horizontal="left"/>
    </xf>
    <xf numFmtId="169" fontId="0" fillId="0" borderId="0" xfId="0" applyAlignment="1">
      <alignment horizontal="center"/>
    </xf>
    <xf numFmtId="169" fontId="7" fillId="0" borderId="0" xfId="0" applyFont="1" applyAlignment="1">
      <alignment/>
    </xf>
    <xf numFmtId="169" fontId="0" fillId="0" borderId="0" xfId="0" applyFill="1" applyAlignment="1">
      <alignment/>
    </xf>
    <xf numFmtId="168" fontId="5" fillId="0" borderId="0" xfId="0" applyNumberFormat="1" applyFont="1" applyAlignment="1" applyProtection="1">
      <alignment horizontal="center"/>
      <protection locked="0"/>
    </xf>
    <xf numFmtId="169" fontId="5" fillId="0" borderId="0" xfId="0" applyFont="1" applyAlignment="1" applyProtection="1">
      <alignment horizontal="center"/>
      <protection locked="0"/>
    </xf>
    <xf numFmtId="169" fontId="10" fillId="0" borderId="0" xfId="0" applyFont="1" applyAlignment="1">
      <alignment/>
    </xf>
    <xf numFmtId="167" fontId="10" fillId="0" borderId="0" xfId="15" applyNumberFormat="1" applyFont="1" applyAlignment="1" applyProtection="1">
      <alignment/>
      <protection locked="0"/>
    </xf>
    <xf numFmtId="169" fontId="10" fillId="0" borderId="0" xfId="0" applyFont="1" applyAlignment="1" applyProtection="1">
      <alignment/>
      <protection locked="0"/>
    </xf>
    <xf numFmtId="169" fontId="0" fillId="0" borderId="0" xfId="0" applyNumberFormat="1" applyAlignment="1" quotePrefix="1">
      <alignment/>
    </xf>
    <xf numFmtId="172" fontId="10" fillId="0" borderId="0" xfId="0" applyNumberFormat="1" applyFont="1" applyAlignment="1" applyProtection="1">
      <alignment/>
      <protection locked="0"/>
    </xf>
    <xf numFmtId="0" fontId="5" fillId="0" borderId="1" xfId="15" applyNumberFormat="1" applyFont="1" applyBorder="1" applyAlignment="1" applyProtection="1">
      <alignment/>
      <protection locked="0"/>
    </xf>
    <xf numFmtId="169" fontId="0" fillId="0" borderId="0" xfId="0" applyBorder="1" applyAlignment="1">
      <alignment/>
    </xf>
    <xf numFmtId="169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72" fontId="5" fillId="0" borderId="0" xfId="0" applyNumberFormat="1" applyFont="1" applyBorder="1" applyAlignment="1" applyProtection="1">
      <alignment/>
      <protection/>
    </xf>
    <xf numFmtId="168" fontId="5" fillId="0" borderId="0" xfId="0" applyNumberFormat="1" applyFont="1" applyBorder="1" applyAlignment="1">
      <alignment/>
    </xf>
    <xf numFmtId="175" fontId="0" fillId="0" borderId="0" xfId="15" applyNumberFormat="1" applyAlignment="1" quotePrefix="1">
      <alignment/>
    </xf>
    <xf numFmtId="168" fontId="5" fillId="0" borderId="0" xfId="0" applyNumberFormat="1" applyFont="1" applyBorder="1" applyAlignment="1" applyProtection="1">
      <alignment horizontal="center"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Border="1" applyAlignment="1" quotePrefix="1">
      <alignment/>
    </xf>
    <xf numFmtId="169" fontId="5" fillId="0" borderId="0" xfId="0" applyFont="1" applyBorder="1" applyAlignment="1" applyProtection="1">
      <alignment horizontal="center"/>
      <protection locked="0"/>
    </xf>
    <xf numFmtId="169" fontId="5" fillId="0" borderId="0" xfId="0" applyFont="1" applyBorder="1" applyAlignment="1" applyProtection="1">
      <alignment/>
      <protection locked="0"/>
    </xf>
    <xf numFmtId="168" fontId="5" fillId="0" borderId="0" xfId="0" applyNumberFormat="1" applyFont="1" applyFill="1" applyBorder="1" applyAlignment="1">
      <alignment/>
    </xf>
    <xf numFmtId="169" fontId="8" fillId="0" borderId="0" xfId="0" applyFont="1" applyAlignment="1">
      <alignment horizontal="center"/>
    </xf>
    <xf numFmtId="169" fontId="0" fillId="0" borderId="0" xfId="0" applyAlignment="1">
      <alignment horizontal="right"/>
    </xf>
    <xf numFmtId="176" fontId="5" fillId="0" borderId="0" xfId="0" applyNumberFormat="1" applyFont="1" applyBorder="1" applyAlignment="1" applyProtection="1">
      <alignment/>
      <protection locked="0"/>
    </xf>
    <xf numFmtId="178" fontId="0" fillId="0" borderId="0" xfId="19" applyNumberFormat="1" applyAlignment="1" quotePrefix="1">
      <alignment/>
    </xf>
    <xf numFmtId="169" fontId="8" fillId="0" borderId="0" xfId="0" applyFont="1" applyBorder="1" applyAlignment="1">
      <alignment horizontal="center"/>
    </xf>
    <xf numFmtId="169" fontId="5" fillId="0" borderId="0" xfId="0" applyFont="1" applyAlignment="1">
      <alignment/>
    </xf>
    <xf numFmtId="9" fontId="5" fillId="0" borderId="0" xfId="19" applyFont="1" applyAlignment="1">
      <alignment/>
    </xf>
    <xf numFmtId="168" fontId="5" fillId="0" borderId="0" xfId="0" applyNumberFormat="1" applyFont="1" applyBorder="1" applyAlignment="1" applyProtection="1">
      <alignment/>
      <protection/>
    </xf>
    <xf numFmtId="173" fontId="8" fillId="0" borderId="0" xfId="0" applyNumberFormat="1" applyFont="1" applyAlignment="1">
      <alignment/>
    </xf>
    <xf numFmtId="170" fontId="16" fillId="0" borderId="0" xfId="0" applyNumberFormat="1" applyFont="1" applyFill="1" applyBorder="1" applyAlignment="1" applyProtection="1">
      <alignment/>
      <protection/>
    </xf>
    <xf numFmtId="9" fontId="5" fillId="0" borderId="0" xfId="19" applyFont="1" applyBorder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172" fontId="10" fillId="0" borderId="0" xfId="0" applyNumberFormat="1" applyFont="1" applyBorder="1" applyAlignment="1" applyProtection="1">
      <alignment/>
      <protection locked="0"/>
    </xf>
    <xf numFmtId="172" fontId="10" fillId="0" borderId="0" xfId="0" applyNumberFormat="1" applyFont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168" fontId="10" fillId="0" borderId="0" xfId="0" applyNumberFormat="1" applyFont="1" applyBorder="1" applyAlignment="1">
      <alignment/>
    </xf>
    <xf numFmtId="178" fontId="17" fillId="0" borderId="0" xfId="19" applyNumberFormat="1" applyFont="1" applyAlignment="1">
      <alignment/>
    </xf>
    <xf numFmtId="175" fontId="11" fillId="0" borderId="0" xfId="15" applyNumberFormat="1" applyFont="1" applyFill="1" applyBorder="1" applyAlignment="1" applyProtection="1" quotePrefix="1">
      <alignment horizontal="center"/>
      <protection locked="0"/>
    </xf>
    <xf numFmtId="169" fontId="17" fillId="0" borderId="0" xfId="0" applyFont="1" applyAlignment="1">
      <alignment/>
    </xf>
    <xf numFmtId="169" fontId="17" fillId="0" borderId="0" xfId="0" applyFont="1" applyAlignment="1" applyProtection="1">
      <alignment/>
      <protection locked="0"/>
    </xf>
    <xf numFmtId="169" fontId="10" fillId="0" borderId="0" xfId="0" applyFont="1" applyFill="1" applyAlignment="1">
      <alignment/>
    </xf>
    <xf numFmtId="169" fontId="10" fillId="0" borderId="0" xfId="0" applyFont="1" applyFill="1" applyAlignment="1" applyProtection="1">
      <alignment/>
      <protection locked="0"/>
    </xf>
    <xf numFmtId="169" fontId="21" fillId="0" borderId="0" xfId="0" applyFont="1" applyAlignment="1">
      <alignment/>
    </xf>
    <xf numFmtId="169" fontId="0" fillId="0" borderId="0" xfId="0" applyAlignment="1" quotePrefix="1">
      <alignment/>
    </xf>
    <xf numFmtId="169" fontId="0" fillId="0" borderId="0" xfId="0" applyFill="1" applyAlignment="1">
      <alignment horizontal="center"/>
    </xf>
    <xf numFmtId="169" fontId="20" fillId="0" borderId="2" xfId="0" applyFont="1" applyFill="1" applyBorder="1" applyAlignment="1">
      <alignment horizontal="center"/>
    </xf>
    <xf numFmtId="169" fontId="20" fillId="0" borderId="3" xfId="0" applyFont="1" applyFill="1" applyBorder="1" applyAlignment="1">
      <alignment horizontal="center"/>
    </xf>
    <xf numFmtId="168" fontId="5" fillId="0" borderId="1" xfId="0" applyNumberFormat="1" applyFont="1" applyFill="1" applyBorder="1" applyAlignment="1" applyProtection="1">
      <alignment/>
      <protection locked="0"/>
    </xf>
    <xf numFmtId="169" fontId="0" fillId="0" borderId="0" xfId="0" applyFill="1" applyBorder="1" applyAlignment="1">
      <alignment horizontal="center"/>
    </xf>
    <xf numFmtId="169" fontId="0" fillId="0" borderId="0" xfId="0" applyFill="1" applyBorder="1" applyAlignment="1">
      <alignment/>
    </xf>
    <xf numFmtId="169" fontId="5" fillId="0" borderId="0" xfId="0" applyNumberFormat="1" applyFont="1" applyFill="1" applyAlignment="1" applyProtection="1">
      <alignment/>
      <protection locked="0"/>
    </xf>
    <xf numFmtId="168" fontId="10" fillId="0" borderId="0" xfId="0" applyNumberFormat="1" applyFont="1" applyFill="1" applyAlignment="1">
      <alignment/>
    </xf>
    <xf numFmtId="169" fontId="5" fillId="0" borderId="0" xfId="0" applyFont="1" applyFill="1" applyBorder="1" applyAlignment="1" applyProtection="1">
      <alignment horizontal="center"/>
      <protection locked="0"/>
    </xf>
    <xf numFmtId="169" fontId="5" fillId="0" borderId="0" xfId="0" applyFont="1" applyFill="1" applyBorder="1" applyAlignment="1" applyProtection="1">
      <alignment/>
      <protection locked="0"/>
    </xf>
    <xf numFmtId="169" fontId="5" fillId="0" borderId="0" xfId="0" applyFont="1" applyFill="1" applyAlignment="1" applyProtection="1">
      <alignment/>
      <protection locked="0"/>
    </xf>
    <xf numFmtId="169" fontId="17" fillId="0" borderId="0" xfId="0" applyFon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169" fontId="5" fillId="0" borderId="0" xfId="0" applyFont="1" applyFill="1" applyAlignment="1">
      <alignment/>
    </xf>
    <xf numFmtId="167" fontId="5" fillId="0" borderId="0" xfId="15" applyNumberFormat="1" applyFont="1" applyAlignment="1" applyProtection="1">
      <alignment/>
      <protection locked="0"/>
    </xf>
    <xf numFmtId="167" fontId="5" fillId="0" borderId="0" xfId="15" applyNumberFormat="1" applyFont="1" applyFill="1" applyAlignment="1" applyProtection="1">
      <alignment/>
      <protection locked="0"/>
    </xf>
    <xf numFmtId="168" fontId="10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0" fillId="0" borderId="0" xfId="0" applyNumberFormat="1" applyFont="1" applyFill="1" applyBorder="1" applyAlignment="1" quotePrefix="1">
      <alignment/>
    </xf>
    <xf numFmtId="170" fontId="16" fillId="0" borderId="4" xfId="0" applyNumberFormat="1" applyFont="1" applyFill="1" applyBorder="1" applyAlignment="1" applyProtection="1">
      <alignment/>
      <protection/>
    </xf>
    <xf numFmtId="170" fontId="16" fillId="0" borderId="2" xfId="0" applyNumberFormat="1" applyFont="1" applyFill="1" applyBorder="1" applyAlignment="1" applyProtection="1">
      <alignment/>
      <protection/>
    </xf>
    <xf numFmtId="175" fontId="17" fillId="0" borderId="0" xfId="15" applyNumberFormat="1" applyFont="1" applyFill="1" applyBorder="1" applyAlignment="1" applyProtection="1" quotePrefix="1">
      <alignment horizontal="center"/>
      <protection locked="0"/>
    </xf>
    <xf numFmtId="169" fontId="0" fillId="0" borderId="0" xfId="0" applyNumberFormat="1" applyAlignment="1">
      <alignment/>
    </xf>
    <xf numFmtId="38" fontId="23" fillId="0" borderId="5" xfId="0" applyNumberFormat="1" applyFont="1" applyBorder="1" applyAlignment="1">
      <alignment horizontal="center"/>
    </xf>
    <xf numFmtId="38" fontId="23" fillId="0" borderId="6" xfId="0" applyNumberFormat="1" applyFont="1" applyBorder="1" applyAlignment="1">
      <alignment horizontal="center"/>
    </xf>
    <xf numFmtId="38" fontId="23" fillId="0" borderId="7" xfId="0" applyNumberFormat="1" applyFont="1" applyBorder="1" applyAlignment="1">
      <alignment horizontal="center"/>
    </xf>
    <xf numFmtId="172" fontId="17" fillId="2" borderId="0" xfId="0" applyNumberFormat="1" applyFont="1" applyFill="1" applyBorder="1" applyAlignment="1" applyProtection="1">
      <alignment/>
      <protection locked="0"/>
    </xf>
    <xf numFmtId="172" fontId="8" fillId="2" borderId="0" xfId="0" applyNumberFormat="1" applyFont="1" applyFill="1" applyAlignment="1">
      <alignment/>
    </xf>
    <xf numFmtId="172" fontId="17" fillId="2" borderId="0" xfId="0" applyNumberFormat="1" applyFont="1" applyFill="1" applyAlignment="1" applyProtection="1">
      <alignment/>
      <protection locked="0"/>
    </xf>
    <xf numFmtId="169" fontId="0" fillId="2" borderId="0" xfId="0" applyFill="1" applyAlignment="1">
      <alignment horizontal="left"/>
    </xf>
    <xf numFmtId="169" fontId="0" fillId="2" borderId="0" xfId="0" applyNumberFormat="1" applyFill="1" applyAlignment="1">
      <alignment horizontal="left"/>
    </xf>
    <xf numFmtId="169" fontId="8" fillId="2" borderId="0" xfId="0" applyFont="1" applyFill="1" applyAlignment="1">
      <alignment/>
    </xf>
    <xf numFmtId="169" fontId="8" fillId="2" borderId="0" xfId="0" applyNumberFormat="1" applyFont="1" applyFill="1" applyBorder="1" applyAlignment="1">
      <alignment/>
    </xf>
    <xf numFmtId="170" fontId="8" fillId="2" borderId="0" xfId="0" applyNumberFormat="1" applyFont="1" applyFill="1" applyAlignment="1">
      <alignment/>
    </xf>
    <xf numFmtId="170" fontId="8" fillId="2" borderId="0" xfId="0" applyNumberFormat="1" applyFont="1" applyFill="1" applyBorder="1" applyAlignment="1">
      <alignment/>
    </xf>
    <xf numFmtId="170" fontId="9" fillId="2" borderId="0" xfId="0" applyNumberFormat="1" applyFont="1" applyFill="1" applyAlignment="1">
      <alignment/>
    </xf>
    <xf numFmtId="170" fontId="9" fillId="2" borderId="0" xfId="0" applyNumberFormat="1" applyFont="1" applyFill="1" applyAlignment="1" quotePrefix="1">
      <alignment/>
    </xf>
    <xf numFmtId="168" fontId="8" fillId="2" borderId="0" xfId="0" applyNumberFormat="1" applyFont="1" applyFill="1" applyAlignment="1">
      <alignment/>
    </xf>
    <xf numFmtId="168" fontId="8" fillId="2" borderId="0" xfId="0" applyNumberFormat="1" applyFont="1" applyFill="1" applyBorder="1" applyAlignment="1">
      <alignment/>
    </xf>
    <xf numFmtId="168" fontId="23" fillId="0" borderId="8" xfId="0" applyNumberFormat="1" applyFont="1" applyBorder="1" applyAlignment="1">
      <alignment/>
    </xf>
    <xf numFmtId="169" fontId="0" fillId="0" borderId="9" xfId="0" applyFill="1" applyBorder="1" applyAlignment="1">
      <alignment/>
    </xf>
    <xf numFmtId="169" fontId="8" fillId="0" borderId="9" xfId="0" applyFont="1" applyFill="1" applyBorder="1" applyAlignment="1">
      <alignment/>
    </xf>
    <xf numFmtId="167" fontId="17" fillId="2" borderId="0" xfId="15" applyNumberFormat="1" applyFont="1" applyFill="1" applyAlignment="1" applyProtection="1">
      <alignment/>
      <protection locked="0"/>
    </xf>
    <xf numFmtId="174" fontId="17" fillId="2" borderId="0" xfId="15" applyNumberFormat="1" applyFont="1" applyFill="1" applyAlignment="1" applyProtection="1">
      <alignment/>
      <protection locked="0"/>
    </xf>
    <xf numFmtId="169" fontId="8" fillId="2" borderId="0" xfId="0" applyFont="1" applyFill="1" applyAlignment="1">
      <alignment horizontal="center"/>
    </xf>
    <xf numFmtId="178" fontId="0" fillId="2" borderId="0" xfId="19" applyNumberFormat="1" applyFill="1" applyAlignment="1" quotePrefix="1">
      <alignment/>
    </xf>
    <xf numFmtId="177" fontId="8" fillId="2" borderId="0" xfId="15" applyNumberFormat="1" applyFont="1" applyFill="1" applyAlignment="1" quotePrefix="1">
      <alignment/>
    </xf>
    <xf numFmtId="169" fontId="0" fillId="2" borderId="0" xfId="0" applyNumberFormat="1" applyFill="1" applyAlignment="1" quotePrefix="1">
      <alignment/>
    </xf>
    <xf numFmtId="169" fontId="17" fillId="0" borderId="0" xfId="0" applyNumberFormat="1" applyFont="1" applyAlignment="1">
      <alignment/>
    </xf>
    <xf numFmtId="170" fontId="27" fillId="0" borderId="0" xfId="0" applyNumberFormat="1" applyFont="1" applyFill="1" applyBorder="1" applyAlignment="1" applyProtection="1">
      <alignment/>
      <protection/>
    </xf>
    <xf numFmtId="169" fontId="0" fillId="2" borderId="0" xfId="0" applyFill="1" applyAlignment="1">
      <alignment/>
    </xf>
    <xf numFmtId="173" fontId="8" fillId="2" borderId="0" xfId="0" applyNumberFormat="1" applyFont="1" applyFill="1" applyBorder="1" applyAlignment="1">
      <alignment horizontal="center"/>
    </xf>
    <xf numFmtId="169" fontId="20" fillId="2" borderId="0" xfId="0" applyFont="1" applyFill="1" applyAlignment="1">
      <alignment horizontal="center"/>
    </xf>
    <xf numFmtId="169" fontId="28" fillId="2" borderId="0" xfId="0" applyFont="1" applyFill="1" applyAlignment="1">
      <alignment horizontal="center"/>
    </xf>
    <xf numFmtId="169" fontId="29" fillId="2" borderId="0" xfId="0" applyFont="1" applyFill="1" applyAlignment="1">
      <alignment horizontal="center"/>
    </xf>
    <xf numFmtId="169" fontId="30" fillId="2" borderId="0" xfId="0" applyFont="1" applyFill="1" applyAlignment="1">
      <alignment horizontal="center"/>
    </xf>
    <xf numFmtId="169" fontId="31" fillId="2" borderId="0" xfId="0" applyFont="1" applyFill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176" fontId="32" fillId="0" borderId="0" xfId="0" applyNumberFormat="1" applyFont="1" applyFill="1" applyBorder="1" applyAlignment="1" applyProtection="1">
      <alignment/>
      <protection locked="0"/>
    </xf>
    <xf numFmtId="169" fontId="14" fillId="0" borderId="0" xfId="0" applyNumberFormat="1" applyFont="1" applyFill="1" applyBorder="1" applyAlignment="1" quotePrefix="1">
      <alignment/>
    </xf>
    <xf numFmtId="168" fontId="14" fillId="0" borderId="0" xfId="0" applyNumberFormat="1" applyFont="1" applyFill="1" applyBorder="1" applyAlignment="1" quotePrefix="1">
      <alignment/>
    </xf>
    <xf numFmtId="178" fontId="32" fillId="0" borderId="0" xfId="19" applyNumberFormat="1" applyFont="1" applyFill="1" applyAlignment="1" quotePrefix="1">
      <alignment/>
    </xf>
    <xf numFmtId="169" fontId="15" fillId="0" borderId="0" xfId="0" applyFont="1" applyAlignment="1">
      <alignment horizontal="left"/>
    </xf>
    <xf numFmtId="169" fontId="15" fillId="0" borderId="0" xfId="0" applyNumberFormat="1" applyFont="1" applyAlignment="1">
      <alignment horizontal="left"/>
    </xf>
    <xf numFmtId="169" fontId="14" fillId="0" borderId="0" xfId="0" applyFont="1" applyAlignment="1">
      <alignment/>
    </xf>
    <xf numFmtId="169" fontId="14" fillId="0" borderId="0" xfId="0" applyFont="1" applyAlignment="1">
      <alignment horizontal="center"/>
    </xf>
    <xf numFmtId="169" fontId="32" fillId="0" borderId="0" xfId="0" applyFont="1" applyAlignment="1">
      <alignment/>
    </xf>
    <xf numFmtId="168" fontId="22" fillId="0" borderId="0" xfId="0" applyNumberFormat="1" applyFont="1" applyBorder="1" applyAlignment="1" applyProtection="1">
      <alignment/>
      <protection locked="0"/>
    </xf>
    <xf numFmtId="169" fontId="22" fillId="0" borderId="0" xfId="0" applyFont="1" applyAlignment="1">
      <alignment/>
    </xf>
    <xf numFmtId="169" fontId="33" fillId="0" borderId="0" xfId="0" applyFont="1" applyAlignment="1">
      <alignment/>
    </xf>
    <xf numFmtId="168" fontId="14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 locked="0"/>
    </xf>
    <xf numFmtId="169" fontId="22" fillId="0" borderId="0" xfId="0" applyNumberFormat="1" applyFont="1" applyAlignment="1" applyProtection="1">
      <alignment/>
      <protection locked="0"/>
    </xf>
    <xf numFmtId="169" fontId="34" fillId="0" borderId="0" xfId="0" applyFont="1" applyAlignment="1">
      <alignment horizontal="center"/>
    </xf>
    <xf numFmtId="168" fontId="22" fillId="0" borderId="0" xfId="0" applyNumberFormat="1" applyFont="1" applyAlignment="1" applyProtection="1">
      <alignment horizontal="center"/>
      <protection locked="0"/>
    </xf>
    <xf numFmtId="180" fontId="14" fillId="0" borderId="0" xfId="0" applyNumberFormat="1" applyFont="1" applyAlignment="1">
      <alignment/>
    </xf>
    <xf numFmtId="172" fontId="32" fillId="0" borderId="0" xfId="0" applyNumberFormat="1" applyFont="1" applyAlignment="1" applyProtection="1">
      <alignment/>
      <protection locked="0"/>
    </xf>
    <xf numFmtId="168" fontId="22" fillId="0" borderId="0" xfId="0" applyNumberFormat="1" applyFont="1" applyBorder="1" applyAlignment="1" applyProtection="1">
      <alignment horizontal="center"/>
      <protection locked="0"/>
    </xf>
    <xf numFmtId="173" fontId="22" fillId="0" borderId="0" xfId="0" applyNumberFormat="1" applyFont="1" applyAlignment="1" applyProtection="1">
      <alignment/>
      <protection locked="0"/>
    </xf>
    <xf numFmtId="173" fontId="32" fillId="0" borderId="0" xfId="0" applyNumberFormat="1" applyFont="1" applyAlignment="1" applyProtection="1">
      <alignment/>
      <protection locked="0"/>
    </xf>
    <xf numFmtId="168" fontId="14" fillId="0" borderId="0" xfId="0" applyNumberFormat="1" applyFont="1" applyAlignment="1" applyProtection="1">
      <alignment horizontal="center"/>
      <protection/>
    </xf>
    <xf numFmtId="170" fontId="35" fillId="0" borderId="8" xfId="0" applyNumberFormat="1" applyFont="1" applyBorder="1" applyAlignment="1" applyProtection="1">
      <alignment/>
      <protection locked="0"/>
    </xf>
    <xf numFmtId="170" fontId="32" fillId="0" borderId="0" xfId="0" applyNumberFormat="1" applyFont="1" applyAlignment="1" applyProtection="1">
      <alignment/>
      <protection locked="0"/>
    </xf>
    <xf numFmtId="168" fontId="32" fillId="0" borderId="0" xfId="0" applyNumberFormat="1" applyFont="1" applyAlignment="1">
      <alignment/>
    </xf>
    <xf numFmtId="170" fontId="22" fillId="0" borderId="0" xfId="0" applyNumberFormat="1" applyFont="1" applyBorder="1" applyAlignment="1" applyProtection="1">
      <alignment horizontal="center"/>
      <protection/>
    </xf>
    <xf numFmtId="170" fontId="36" fillId="0" borderId="1" xfId="0" applyNumberFormat="1" applyFont="1" applyBorder="1" applyAlignment="1" applyProtection="1" quotePrefix="1">
      <alignment/>
      <protection locked="0"/>
    </xf>
    <xf numFmtId="169" fontId="14" fillId="0" borderId="0" xfId="0" applyNumberFormat="1" applyFont="1" applyAlignment="1">
      <alignment/>
    </xf>
    <xf numFmtId="169" fontId="14" fillId="0" borderId="0" xfId="0" applyFont="1" applyAlignment="1">
      <alignment horizontal="left"/>
    </xf>
    <xf numFmtId="170" fontId="22" fillId="0" borderId="0" xfId="0" applyNumberFormat="1" applyFont="1" applyAlignment="1" applyProtection="1">
      <alignment horizontal="center"/>
      <protection locked="0"/>
    </xf>
    <xf numFmtId="169" fontId="15" fillId="0" borderId="12" xfId="0" applyFont="1" applyBorder="1" applyAlignment="1">
      <alignment horizontal="center"/>
    </xf>
    <xf numFmtId="168" fontId="14" fillId="0" borderId="1" xfId="0" applyNumberFormat="1" applyFont="1" applyBorder="1" applyAlignment="1" applyProtection="1">
      <alignment horizontal="center"/>
      <protection/>
    </xf>
    <xf numFmtId="169" fontId="15" fillId="0" borderId="0" xfId="0" applyFont="1" applyAlignment="1">
      <alignment horizontal="center"/>
    </xf>
    <xf numFmtId="169" fontId="15" fillId="0" borderId="0" xfId="0" applyNumberFormat="1" applyFont="1" applyAlignment="1">
      <alignment horizontal="center"/>
    </xf>
    <xf numFmtId="169" fontId="15" fillId="0" borderId="9" xfId="0" applyFont="1" applyFill="1" applyBorder="1" applyAlignment="1">
      <alignment horizontal="center"/>
    </xf>
    <xf numFmtId="171" fontId="15" fillId="0" borderId="1" xfId="0" applyNumberFormat="1" applyFont="1" applyBorder="1" applyAlignment="1" applyProtection="1">
      <alignment horizontal="center"/>
      <protection/>
    </xf>
    <xf numFmtId="171" fontId="15" fillId="0" borderId="0" xfId="0" applyNumberFormat="1" applyFont="1" applyAlignment="1" applyProtection="1">
      <alignment horizontal="center"/>
      <protection/>
    </xf>
    <xf numFmtId="171" fontId="36" fillId="0" borderId="0" xfId="0" applyNumberFormat="1" applyFont="1" applyAlignment="1" applyProtection="1">
      <alignment horizontal="center"/>
      <protection/>
    </xf>
    <xf numFmtId="171" fontId="15" fillId="0" borderId="0" xfId="0" applyNumberFormat="1" applyFont="1" applyAlignment="1" applyProtection="1">
      <alignment/>
      <protection/>
    </xf>
    <xf numFmtId="171" fontId="15" fillId="2" borderId="0" xfId="0" applyNumberFormat="1" applyFont="1" applyFill="1" applyAlignment="1" applyProtection="1">
      <alignment horizontal="center"/>
      <protection/>
    </xf>
    <xf numFmtId="171" fontId="36" fillId="2" borderId="0" xfId="0" applyNumberFormat="1" applyFont="1" applyFill="1" applyAlignment="1" applyProtection="1">
      <alignment horizontal="center"/>
      <protection/>
    </xf>
    <xf numFmtId="169" fontId="36" fillId="0" borderId="1" xfId="0" applyFont="1" applyFill="1" applyBorder="1" applyAlignment="1">
      <alignment horizontal="center"/>
    </xf>
    <xf numFmtId="169" fontId="36" fillId="0" borderId="0" xfId="0" applyFont="1" applyFill="1" applyBorder="1" applyAlignment="1">
      <alignment horizontal="center"/>
    </xf>
    <xf numFmtId="169" fontId="15" fillId="0" borderId="13" xfId="0" applyFont="1" applyBorder="1" applyAlignment="1">
      <alignment horizontal="center"/>
    </xf>
    <xf numFmtId="169" fontId="15" fillId="0" borderId="0" xfId="0" applyFont="1" applyBorder="1" applyAlignment="1">
      <alignment horizontal="center"/>
    </xf>
    <xf numFmtId="169" fontId="14" fillId="2" borderId="1" xfId="0" applyFont="1" applyFill="1" applyBorder="1" applyAlignment="1">
      <alignment horizontal="center"/>
    </xf>
    <xf numFmtId="169" fontId="15" fillId="0" borderId="0" xfId="0" applyFont="1" applyAlignment="1">
      <alignment/>
    </xf>
    <xf numFmtId="169" fontId="15" fillId="0" borderId="0" xfId="0" applyFont="1" applyBorder="1" applyAlignment="1">
      <alignment/>
    </xf>
    <xf numFmtId="169" fontId="14" fillId="0" borderId="0" xfId="0" applyNumberFormat="1" applyFont="1" applyAlignment="1" applyProtection="1">
      <alignment/>
      <protection/>
    </xf>
    <xf numFmtId="169" fontId="14" fillId="0" borderId="0" xfId="0" applyFont="1" applyFill="1" applyAlignment="1">
      <alignment/>
    </xf>
    <xf numFmtId="169" fontId="14" fillId="0" borderId="0" xfId="0" applyFont="1" applyFill="1" applyBorder="1" applyAlignment="1">
      <alignment horizontal="center"/>
    </xf>
    <xf numFmtId="169" fontId="32" fillId="0" borderId="0" xfId="0" applyFont="1" applyFill="1" applyBorder="1" applyAlignment="1">
      <alignment/>
    </xf>
    <xf numFmtId="169" fontId="14" fillId="0" borderId="0" xfId="0" applyFont="1" applyFill="1" applyBorder="1" applyAlignment="1">
      <alignment/>
    </xf>
    <xf numFmtId="170" fontId="32" fillId="0" borderId="0" xfId="0" applyNumberFormat="1" applyFont="1" applyFill="1" applyAlignment="1">
      <alignment/>
    </xf>
    <xf numFmtId="170" fontId="22" fillId="0" borderId="0" xfId="0" applyNumberFormat="1" applyFont="1" applyFill="1" applyAlignment="1">
      <alignment/>
    </xf>
    <xf numFmtId="169" fontId="32" fillId="0" borderId="0" xfId="0" applyFont="1" applyFill="1" applyAlignment="1">
      <alignment/>
    </xf>
    <xf numFmtId="170" fontId="3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69" fontId="22" fillId="0" borderId="0" xfId="0" applyFont="1" applyFill="1" applyAlignment="1">
      <alignment/>
    </xf>
    <xf numFmtId="170" fontId="15" fillId="0" borderId="0" xfId="0" applyNumberFormat="1" applyFont="1" applyFill="1" applyAlignment="1">
      <alignment/>
    </xf>
    <xf numFmtId="169" fontId="32" fillId="0" borderId="0" xfId="0" applyFont="1" applyAlignment="1">
      <alignment horizontal="center"/>
    </xf>
    <xf numFmtId="167" fontId="32" fillId="0" borderId="0" xfId="15" applyNumberFormat="1" applyFont="1" applyAlignment="1" applyProtection="1">
      <alignment/>
      <protection locked="0"/>
    </xf>
    <xf numFmtId="167" fontId="32" fillId="0" borderId="0" xfId="15" applyNumberFormat="1" applyFont="1" applyFill="1" applyAlignment="1" applyProtection="1">
      <alignment/>
      <protection locked="0"/>
    </xf>
    <xf numFmtId="169" fontId="32" fillId="0" borderId="0" xfId="0" applyFont="1" applyFill="1" applyAlignment="1" applyProtection="1">
      <alignment/>
      <protection locked="0"/>
    </xf>
    <xf numFmtId="169" fontId="32" fillId="0" borderId="0" xfId="0" applyFont="1" applyAlignment="1" applyProtection="1">
      <alignment/>
      <protection locked="0"/>
    </xf>
    <xf numFmtId="171" fontId="20" fillId="0" borderId="0" xfId="0" applyNumberFormat="1" applyFont="1" applyAlignment="1" applyProtection="1">
      <alignment horizontal="center"/>
      <protection/>
    </xf>
    <xf numFmtId="169" fontId="17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169" fontId="14" fillId="0" borderId="9" xfId="0" applyFont="1" applyFill="1" applyBorder="1" applyAlignment="1">
      <alignment horizontal="center"/>
    </xf>
    <xf numFmtId="169" fontId="8" fillId="0" borderId="1" xfId="0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9" fontId="15" fillId="0" borderId="14" xfId="0" applyFont="1" applyBorder="1" applyAlignment="1">
      <alignment horizontal="center"/>
    </xf>
    <xf numFmtId="169" fontId="15" fillId="0" borderId="4" xfId="0" applyFont="1" applyBorder="1" applyAlignment="1">
      <alignment horizontal="center"/>
    </xf>
    <xf numFmtId="0" fontId="22" fillId="0" borderId="1" xfId="15" applyNumberFormat="1" applyFont="1" applyFill="1" applyBorder="1" applyAlignment="1" applyProtection="1">
      <alignment/>
      <protection locked="0"/>
    </xf>
    <xf numFmtId="170" fontId="22" fillId="0" borderId="0" xfId="0" applyNumberFormat="1" applyFont="1" applyFill="1" applyBorder="1" applyAlignment="1" applyProtection="1">
      <alignment horizontal="center"/>
      <protection/>
    </xf>
    <xf numFmtId="169" fontId="36" fillId="0" borderId="3" xfId="0" applyFont="1" applyFill="1" applyBorder="1" applyAlignment="1">
      <alignment horizontal="center"/>
    </xf>
    <xf numFmtId="169" fontId="36" fillId="0" borderId="2" xfId="0" applyFont="1" applyFill="1" applyBorder="1" applyAlignment="1">
      <alignment horizontal="center"/>
    </xf>
    <xf numFmtId="169" fontId="14" fillId="2" borderId="1" xfId="0" applyFont="1" applyFill="1" applyBorder="1" applyAlignment="1" quotePrefix="1">
      <alignment horizontal="center"/>
    </xf>
    <xf numFmtId="169" fontId="22" fillId="0" borderId="0" xfId="0" applyFont="1" applyAlignment="1" applyProtection="1">
      <alignment horizontal="center"/>
      <protection locked="0"/>
    </xf>
    <xf numFmtId="169" fontId="36" fillId="0" borderId="14" xfId="0" applyFont="1" applyFill="1" applyBorder="1" applyAlignment="1">
      <alignment/>
    </xf>
    <xf numFmtId="169" fontId="36" fillId="0" borderId="4" xfId="0" applyFont="1" applyFill="1" applyBorder="1" applyAlignment="1">
      <alignment/>
    </xf>
    <xf numFmtId="171" fontId="36" fillId="0" borderId="4" xfId="0" applyNumberFormat="1" applyFont="1" applyBorder="1" applyAlignment="1" applyProtection="1">
      <alignment horizontal="center"/>
      <protection/>
    </xf>
    <xf numFmtId="169" fontId="36" fillId="0" borderId="4" xfId="0" applyFont="1" applyBorder="1" applyAlignment="1">
      <alignment horizontal="center"/>
    </xf>
    <xf numFmtId="169" fontId="32" fillId="0" borderId="3" xfId="0" applyFont="1" applyFill="1" applyBorder="1" applyAlignment="1">
      <alignment/>
    </xf>
    <xf numFmtId="169" fontId="32" fillId="0" borderId="2" xfId="0" applyFont="1" applyFill="1" applyBorder="1" applyAlignment="1">
      <alignment/>
    </xf>
    <xf numFmtId="169" fontId="32" fillId="0" borderId="2" xfId="0" applyFont="1" applyBorder="1" applyAlignment="1">
      <alignment horizontal="center"/>
    </xf>
    <xf numFmtId="169" fontId="22" fillId="0" borderId="14" xfId="0" applyFont="1" applyFill="1" applyBorder="1" applyAlignment="1">
      <alignment/>
    </xf>
    <xf numFmtId="176" fontId="22" fillId="0" borderId="4" xfId="0" applyNumberFormat="1" applyFont="1" applyBorder="1" applyAlignment="1" applyProtection="1">
      <alignment/>
      <protection locked="0"/>
    </xf>
    <xf numFmtId="9" fontId="22" fillId="0" borderId="4" xfId="19" applyFont="1" applyBorder="1" applyAlignment="1">
      <alignment/>
    </xf>
    <xf numFmtId="172" fontId="22" fillId="0" borderId="4" xfId="0" applyNumberFormat="1" applyFont="1" applyBorder="1" applyAlignment="1" applyProtection="1">
      <alignment/>
      <protection/>
    </xf>
    <xf numFmtId="168" fontId="22" fillId="0" borderId="4" xfId="0" applyNumberFormat="1" applyFont="1" applyBorder="1" applyAlignment="1" applyProtection="1">
      <alignment/>
      <protection/>
    </xf>
    <xf numFmtId="170" fontId="32" fillId="0" borderId="4" xfId="0" applyNumberFormat="1" applyFont="1" applyBorder="1" applyAlignment="1" applyProtection="1">
      <alignment/>
      <protection/>
    </xf>
    <xf numFmtId="172" fontId="14" fillId="0" borderId="0" xfId="0" applyNumberFormat="1" applyFont="1" applyFill="1" applyBorder="1" applyAlignment="1">
      <alignment/>
    </xf>
    <xf numFmtId="169" fontId="22" fillId="0" borderId="1" xfId="0" applyFont="1" applyFill="1" applyBorder="1" applyAlignment="1">
      <alignment/>
    </xf>
    <xf numFmtId="170" fontId="22" fillId="0" borderId="0" xfId="0" applyNumberFormat="1" applyFont="1" applyFill="1" applyBorder="1" applyAlignment="1" applyProtection="1">
      <alignment/>
      <protection/>
    </xf>
    <xf numFmtId="9" fontId="22" fillId="0" borderId="0" xfId="19" applyFont="1" applyBorder="1" applyAlignment="1">
      <alignment/>
    </xf>
    <xf numFmtId="172" fontId="22" fillId="0" borderId="0" xfId="0" applyNumberFormat="1" applyFont="1" applyBorder="1" applyAlignment="1" applyProtection="1">
      <alignment/>
      <protection/>
    </xf>
    <xf numFmtId="168" fontId="22" fillId="0" borderId="0" xfId="0" applyNumberFormat="1" applyFont="1" applyBorder="1" applyAlignment="1" applyProtection="1">
      <alignment/>
      <protection/>
    </xf>
    <xf numFmtId="170" fontId="32" fillId="0" borderId="0" xfId="0" applyNumberFormat="1" applyFont="1" applyBorder="1" applyAlignment="1" applyProtection="1">
      <alignment/>
      <protection/>
    </xf>
    <xf numFmtId="169" fontId="22" fillId="0" borderId="3" xfId="0" applyFont="1" applyFill="1" applyBorder="1" applyAlignment="1">
      <alignment/>
    </xf>
    <xf numFmtId="170" fontId="22" fillId="0" borderId="2" xfId="0" applyNumberFormat="1" applyFont="1" applyFill="1" applyBorder="1" applyAlignment="1" applyProtection="1">
      <alignment/>
      <protection/>
    </xf>
    <xf numFmtId="176" fontId="22" fillId="0" borderId="2" xfId="0" applyNumberFormat="1" applyFont="1" applyBorder="1" applyAlignment="1" applyProtection="1">
      <alignment/>
      <protection locked="0"/>
    </xf>
    <xf numFmtId="9" fontId="22" fillId="0" borderId="2" xfId="19" applyFont="1" applyBorder="1" applyAlignment="1">
      <alignment/>
    </xf>
    <xf numFmtId="172" fontId="22" fillId="0" borderId="2" xfId="0" applyNumberFormat="1" applyFont="1" applyBorder="1" applyAlignment="1" applyProtection="1">
      <alignment/>
      <protection/>
    </xf>
    <xf numFmtId="168" fontId="22" fillId="0" borderId="2" xfId="0" applyNumberFormat="1" applyFont="1" applyBorder="1" applyAlignment="1" applyProtection="1">
      <alignment/>
      <protection/>
    </xf>
    <xf numFmtId="170" fontId="32" fillId="0" borderId="2" xfId="0" applyNumberFormat="1" applyFont="1" applyBorder="1" applyAlignment="1" applyProtection="1">
      <alignment/>
      <protection/>
    </xf>
    <xf numFmtId="178" fontId="22" fillId="0" borderId="0" xfId="19" applyNumberFormat="1" applyFont="1" applyBorder="1" applyAlignment="1">
      <alignment/>
    </xf>
    <xf numFmtId="178" fontId="22" fillId="0" borderId="2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Lower 8' - Pull</a:t>
            </a:r>
          </a:p>
        </c:rich>
      </c:tx>
      <c:layout>
        <c:manualLayout>
          <c:xMode val="factor"/>
          <c:yMode val="factor"/>
          <c:x val="0.03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5"/>
          <c:order val="0"/>
          <c:tx>
            <c:v>Breaking risk %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Calculation!$M$8:$M$68</c:f>
              <c:numCache>
                <c:ptCount val="61"/>
                <c:pt idx="0">
                  <c:v>3.585328479782045</c:v>
                </c:pt>
                <c:pt idx="1">
                  <c:v>3.9716167676025615</c:v>
                </c:pt>
                <c:pt idx="2">
                  <c:v>4.379608394120129</c:v>
                </c:pt>
                <c:pt idx="3">
                  <c:v>4.80165547387851</c:v>
                </c:pt>
                <c:pt idx="4">
                  <c:v>3.7537618706066778</c:v>
                </c:pt>
                <c:pt idx="5">
                  <c:v>4.046224029079967</c:v>
                </c:pt>
                <c:pt idx="6">
                  <c:v>4.331860590177857</c:v>
                </c:pt>
                <c:pt idx="7">
                  <c:v>4.638029926044023</c:v>
                </c:pt>
                <c:pt idx="8">
                  <c:v>4.966398198940328</c:v>
                </c:pt>
                <c:pt idx="9">
                  <c:v>4.787328435806169</c:v>
                </c:pt>
                <c:pt idx="10">
                  <c:v>5.100695151999391</c:v>
                </c:pt>
                <c:pt idx="11">
                  <c:v>5.434360983254235</c:v>
                </c:pt>
                <c:pt idx="12">
                  <c:v>5.757656310540016</c:v>
                </c:pt>
                <c:pt idx="13">
                  <c:v>6.089723454600017</c:v>
                </c:pt>
                <c:pt idx="14">
                  <c:v>6.448283893913299</c:v>
                </c:pt>
                <c:pt idx="15">
                  <c:v>6.533396999498785</c:v>
                </c:pt>
                <c:pt idx="16">
                  <c:v>6.892811984846288</c:v>
                </c:pt>
                <c:pt idx="17">
                  <c:v>4.859659182377912</c:v>
                </c:pt>
                <c:pt idx="18">
                  <c:v>5.114626014806381</c:v>
                </c:pt>
                <c:pt idx="19">
                  <c:v>5.362138120927237</c:v>
                </c:pt>
                <c:pt idx="20">
                  <c:v>5.6181720266406625</c:v>
                </c:pt>
                <c:pt idx="21">
                  <c:v>5.861055235157381</c:v>
                </c:pt>
                <c:pt idx="22">
                  <c:v>6.121089587601625</c:v>
                </c:pt>
                <c:pt idx="23">
                  <c:v>6.375437884723562</c:v>
                </c:pt>
                <c:pt idx="24">
                  <c:v>6.607275052155254</c:v>
                </c:pt>
                <c:pt idx="25">
                  <c:v>6.839725757066234</c:v>
                </c:pt>
                <c:pt idx="26">
                  <c:v>7.072225619594014</c:v>
                </c:pt>
                <c:pt idx="27">
                  <c:v>6.882140084069059</c:v>
                </c:pt>
                <c:pt idx="28">
                  <c:v>7.064013026054047</c:v>
                </c:pt>
                <c:pt idx="29">
                  <c:v>7.201697415634878</c:v>
                </c:pt>
                <c:pt idx="30">
                  <c:v>7.366367961587919</c:v>
                </c:pt>
                <c:pt idx="31">
                  <c:v>7.522179112023419</c:v>
                </c:pt>
                <c:pt idx="32">
                  <c:v>7.242907537549387</c:v>
                </c:pt>
                <c:pt idx="33">
                  <c:v>7.3233568671279965</c:v>
                </c:pt>
                <c:pt idx="34">
                  <c:v>7.411333058760924</c:v>
                </c:pt>
                <c:pt idx="35">
                  <c:v>7.484231809050894</c:v>
                </c:pt>
                <c:pt idx="36">
                  <c:v>7.541213044834479</c:v>
                </c:pt>
                <c:pt idx="37">
                  <c:v>7.581554614124542</c:v>
                </c:pt>
                <c:pt idx="38">
                  <c:v>7.224442525325222</c:v>
                </c:pt>
                <c:pt idx="39">
                  <c:v>7.293074568943984</c:v>
                </c:pt>
                <c:pt idx="40">
                  <c:v>7.318741499184194</c:v>
                </c:pt>
                <c:pt idx="41">
                  <c:v>7.331558906679726</c:v>
                </c:pt>
                <c:pt idx="42">
                  <c:v>7.331995856828593</c:v>
                </c:pt>
                <c:pt idx="43">
                  <c:v>7.360954234277227</c:v>
                </c:pt>
                <c:pt idx="44">
                  <c:v>7.341449282638093</c:v>
                </c:pt>
                <c:pt idx="45">
                  <c:v>7.3578423577739915</c:v>
                </c:pt>
                <c:pt idx="46">
                  <c:v>7.372051791061706</c:v>
                </c:pt>
                <c:pt idx="47">
                  <c:v>7.3866001163182196</c:v>
                </c:pt>
                <c:pt idx="48">
                  <c:v>7.000710248668832</c:v>
                </c:pt>
                <c:pt idx="49">
                  <c:v>7.021213376240819</c:v>
                </c:pt>
                <c:pt idx="50">
                  <c:v>6.994617369158405</c:v>
                </c:pt>
                <c:pt idx="51">
                  <c:v>6.9760831317243035</c:v>
                </c:pt>
                <c:pt idx="52">
                  <c:v>6.970229999223041</c:v>
                </c:pt>
                <c:pt idx="53">
                  <c:v>6.982437053980691</c:v>
                </c:pt>
                <c:pt idx="54">
                  <c:v>7.01898691776068</c:v>
                </c:pt>
                <c:pt idx="55">
                  <c:v>7.010432604073548</c:v>
                </c:pt>
                <c:pt idx="56">
                  <c:v>7.113982648099969</c:v>
                </c:pt>
                <c:pt idx="57">
                  <c:v>7.093713871866042</c:v>
                </c:pt>
                <c:pt idx="58">
                  <c:v>7.112479591043922</c:v>
                </c:pt>
                <c:pt idx="59">
                  <c:v>7.180653530016365</c:v>
                </c:pt>
                <c:pt idx="60">
                  <c:v>7.206602520887132</c:v>
                </c:pt>
              </c:numCache>
            </c:numRef>
          </c:val>
          <c:smooth val="0"/>
        </c:ser>
        <c:ser>
          <c:idx val="8"/>
          <c:order val="1"/>
          <c:tx>
            <c:v>Historical-Upper Envolvent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Calculation!$U$8:$U$68</c:f>
              <c:numCache>
                <c:ptCount val="61"/>
                <c:pt idx="0">
                  <c:v>6.25</c:v>
                </c:pt>
                <c:pt idx="1">
                  <c:v>6.38</c:v>
                </c:pt>
                <c:pt idx="2">
                  <c:v>6.51</c:v>
                </c:pt>
                <c:pt idx="3">
                  <c:v>6.64</c:v>
                </c:pt>
                <c:pt idx="4">
                  <c:v>6.77</c:v>
                </c:pt>
                <c:pt idx="5">
                  <c:v>6.88</c:v>
                </c:pt>
                <c:pt idx="6">
                  <c:v>6.95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7.5</c:v>
                </c:pt>
                <c:pt idx="12">
                  <c:v>7.46</c:v>
                </c:pt>
                <c:pt idx="13">
                  <c:v>7.42</c:v>
                </c:pt>
                <c:pt idx="14">
                  <c:v>7.35</c:v>
                </c:pt>
                <c:pt idx="15">
                  <c:v>7.2</c:v>
                </c:pt>
                <c:pt idx="16">
                  <c:v>6.95</c:v>
                </c:pt>
                <c:pt idx="17">
                  <c:v>6.7</c:v>
                </c:pt>
                <c:pt idx="18">
                  <c:v>6.55</c:v>
                </c:pt>
                <c:pt idx="19">
                  <c:v>6.75</c:v>
                </c:pt>
                <c:pt idx="20">
                  <c:v>6.74</c:v>
                </c:pt>
                <c:pt idx="21">
                  <c:v>6.71</c:v>
                </c:pt>
                <c:pt idx="22">
                  <c:v>6.67</c:v>
                </c:pt>
                <c:pt idx="23">
                  <c:v>6.62</c:v>
                </c:pt>
                <c:pt idx="24">
                  <c:v>6.56</c:v>
                </c:pt>
                <c:pt idx="25">
                  <c:v>6.49</c:v>
                </c:pt>
                <c:pt idx="26">
                  <c:v>6.41</c:v>
                </c:pt>
                <c:pt idx="27">
                  <c:v>6.32</c:v>
                </c:pt>
                <c:pt idx="28">
                  <c:v>6.22</c:v>
                </c:pt>
                <c:pt idx="29">
                  <c:v>6.12</c:v>
                </c:pt>
                <c:pt idx="30">
                  <c:v>6.02</c:v>
                </c:pt>
                <c:pt idx="31">
                  <c:v>5.92</c:v>
                </c:pt>
                <c:pt idx="32">
                  <c:v>5.82</c:v>
                </c:pt>
                <c:pt idx="33">
                  <c:v>5.72</c:v>
                </c:pt>
                <c:pt idx="34">
                  <c:v>5.62</c:v>
                </c:pt>
                <c:pt idx="35">
                  <c:v>5.52</c:v>
                </c:pt>
                <c:pt idx="36">
                  <c:v>5.42</c:v>
                </c:pt>
                <c:pt idx="37">
                  <c:v>5.32</c:v>
                </c:pt>
                <c:pt idx="38">
                  <c:v>5.22</c:v>
                </c:pt>
                <c:pt idx="39">
                  <c:v>5.12</c:v>
                </c:pt>
                <c:pt idx="40">
                  <c:v>5.02</c:v>
                </c:pt>
                <c:pt idx="41">
                  <c:v>4.923333333333332</c:v>
                </c:pt>
                <c:pt idx="42">
                  <c:v>4.816666666666665</c:v>
                </c:pt>
                <c:pt idx="43">
                  <c:v>4.71</c:v>
                </c:pt>
                <c:pt idx="44">
                  <c:v>4.603333333333331</c:v>
                </c:pt>
                <c:pt idx="45">
                  <c:v>4.4966666666666635</c:v>
                </c:pt>
                <c:pt idx="46">
                  <c:v>4.39</c:v>
                </c:pt>
                <c:pt idx="47">
                  <c:v>4.28333333333333</c:v>
                </c:pt>
                <c:pt idx="48">
                  <c:v>4.176666666666662</c:v>
                </c:pt>
                <c:pt idx="49">
                  <c:v>4.069999999999995</c:v>
                </c:pt>
                <c:pt idx="50">
                  <c:v>3.9633333333333285</c:v>
                </c:pt>
                <c:pt idx="51">
                  <c:v>3.8566666666666616</c:v>
                </c:pt>
                <c:pt idx="52">
                  <c:v>3.77</c:v>
                </c:pt>
                <c:pt idx="53">
                  <c:v>3.75</c:v>
                </c:pt>
                <c:pt idx="54">
                  <c:v>3.75</c:v>
                </c:pt>
                <c:pt idx="55">
                  <c:v>3.783333333333333</c:v>
                </c:pt>
                <c:pt idx="56">
                  <c:v>3.816666666666667</c:v>
                </c:pt>
                <c:pt idx="57">
                  <c:v>3.86</c:v>
                </c:pt>
                <c:pt idx="58">
                  <c:v>3.91</c:v>
                </c:pt>
                <c:pt idx="59">
                  <c:v>3.97</c:v>
                </c:pt>
                <c:pt idx="60">
                  <c:v>4.04</c:v>
                </c:pt>
              </c:numCache>
            </c:numRef>
          </c:val>
          <c:smooth val="0"/>
        </c:ser>
        <c:ser>
          <c:idx val="4"/>
          <c:order val="2"/>
          <c:tx>
            <c:v>Historical-Weighted Ave. Smoothed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Calculation!$V$8:$V$68</c:f>
              <c:numCache>
                <c:ptCount val="61"/>
                <c:pt idx="0">
                  <c:v>5.7</c:v>
                </c:pt>
                <c:pt idx="1">
                  <c:v>5.9</c:v>
                </c:pt>
                <c:pt idx="2">
                  <c:v>6.052374539794842</c:v>
                </c:pt>
                <c:pt idx="3">
                  <c:v>6.163950340857742</c:v>
                </c:pt>
                <c:pt idx="4">
                  <c:v>6.23</c:v>
                </c:pt>
                <c:pt idx="5">
                  <c:v>6.320793198657857</c:v>
                </c:pt>
                <c:pt idx="6">
                  <c:v>6.397871975334324</c:v>
                </c:pt>
                <c:pt idx="7">
                  <c:v>6.432343876959283</c:v>
                </c:pt>
                <c:pt idx="8">
                  <c:v>6.46154503337964</c:v>
                </c:pt>
                <c:pt idx="9">
                  <c:v>6.475464287358075</c:v>
                </c:pt>
                <c:pt idx="10">
                  <c:v>6.85</c:v>
                </c:pt>
                <c:pt idx="11">
                  <c:v>6.76</c:v>
                </c:pt>
                <c:pt idx="12">
                  <c:v>6.746941790520824</c:v>
                </c:pt>
                <c:pt idx="13">
                  <c:v>6.615704323145756</c:v>
                </c:pt>
                <c:pt idx="14">
                  <c:v>6.489728061423674</c:v>
                </c:pt>
                <c:pt idx="15">
                  <c:v>6.309300341305051</c:v>
                </c:pt>
                <c:pt idx="16">
                  <c:v>6.105578952754939</c:v>
                </c:pt>
                <c:pt idx="17">
                  <c:v>5.87</c:v>
                </c:pt>
                <c:pt idx="18">
                  <c:v>5.78</c:v>
                </c:pt>
                <c:pt idx="19">
                  <c:v>6</c:v>
                </c:pt>
                <c:pt idx="20">
                  <c:v>5.942857142857143</c:v>
                </c:pt>
                <c:pt idx="21">
                  <c:v>5.885714285714285</c:v>
                </c:pt>
                <c:pt idx="22">
                  <c:v>5.828571428571428</c:v>
                </c:pt>
                <c:pt idx="23">
                  <c:v>5.771428571428571</c:v>
                </c:pt>
                <c:pt idx="24">
                  <c:v>5.714285714285714</c:v>
                </c:pt>
                <c:pt idx="25">
                  <c:v>5.63</c:v>
                </c:pt>
                <c:pt idx="26">
                  <c:v>5.53</c:v>
                </c:pt>
                <c:pt idx="27">
                  <c:v>5.35</c:v>
                </c:pt>
                <c:pt idx="28">
                  <c:v>5.21</c:v>
                </c:pt>
                <c:pt idx="29">
                  <c:v>5.15</c:v>
                </c:pt>
                <c:pt idx="30">
                  <c:v>5.13</c:v>
                </c:pt>
                <c:pt idx="31">
                  <c:v>5.11</c:v>
                </c:pt>
                <c:pt idx="32">
                  <c:v>5.08</c:v>
                </c:pt>
                <c:pt idx="33">
                  <c:v>5.03</c:v>
                </c:pt>
                <c:pt idx="34">
                  <c:v>4.978388868228099</c:v>
                </c:pt>
                <c:pt idx="35">
                  <c:v>4.924836527686075</c:v>
                </c:pt>
                <c:pt idx="36">
                  <c:v>4.855651188916661</c:v>
                </c:pt>
                <c:pt idx="37">
                  <c:v>4.763840051084974</c:v>
                </c:pt>
                <c:pt idx="38">
                  <c:v>4.672028913253286</c:v>
                </c:pt>
                <c:pt idx="39">
                  <c:v>4.580217775421599</c:v>
                </c:pt>
                <c:pt idx="40">
                  <c:v>4.488406637589912</c:v>
                </c:pt>
                <c:pt idx="41">
                  <c:v>4.396595499758225</c:v>
                </c:pt>
                <c:pt idx="42">
                  <c:v>4.304784361926537</c:v>
                </c:pt>
                <c:pt idx="43">
                  <c:v>4.21297322409485</c:v>
                </c:pt>
                <c:pt idx="44">
                  <c:v>4.121162086263163</c:v>
                </c:pt>
                <c:pt idx="45">
                  <c:v>4.029350948431476</c:v>
                </c:pt>
                <c:pt idx="46">
                  <c:v>3.9375398105997883</c:v>
                </c:pt>
                <c:pt idx="47">
                  <c:v>3.8137217872845937</c:v>
                </c:pt>
                <c:pt idx="48">
                  <c:v>3.672107172497935</c:v>
                </c:pt>
                <c:pt idx="49">
                  <c:v>3.53316863261836</c:v>
                </c:pt>
                <c:pt idx="50">
                  <c:v>3.4399336607468673</c:v>
                </c:pt>
                <c:pt idx="51">
                  <c:v>3.4002623500915923</c:v>
                </c:pt>
                <c:pt idx="52">
                  <c:v>3.3988407534882326</c:v>
                </c:pt>
                <c:pt idx="53">
                  <c:v>3.406428563945321</c:v>
                </c:pt>
                <c:pt idx="54">
                  <c:v>3.4140163744024097</c:v>
                </c:pt>
                <c:pt idx="55">
                  <c:v>3.4216041848594982</c:v>
                </c:pt>
                <c:pt idx="56">
                  <c:v>3.429191995316587</c:v>
                </c:pt>
                <c:pt idx="57">
                  <c:v>3.5353358284889445</c:v>
                </c:pt>
                <c:pt idx="58">
                  <c:v>3.5884248585470404</c:v>
                </c:pt>
                <c:pt idx="59">
                  <c:v>3.6532820838506233</c:v>
                </c:pt>
                <c:pt idx="60">
                  <c:v>3.709867748195349</c:v>
                </c:pt>
              </c:numCache>
            </c:numRef>
          </c:val>
          <c:smooth val="0"/>
        </c:ser>
        <c:ser>
          <c:idx val="3"/>
          <c:order val="3"/>
          <c:tx>
            <c:v>Historical-Lower Envolvent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Calculation!$T$8:$T$68</c:f>
              <c:numCache>
                <c:ptCount val="61"/>
                <c:pt idx="0">
                  <c:v>5.34</c:v>
                </c:pt>
                <c:pt idx="1">
                  <c:v>5.422</c:v>
                </c:pt>
                <c:pt idx="2">
                  <c:v>5.504</c:v>
                </c:pt>
                <c:pt idx="3">
                  <c:v>5.586</c:v>
                </c:pt>
                <c:pt idx="4">
                  <c:v>5.668</c:v>
                </c:pt>
                <c:pt idx="5">
                  <c:v>5.75</c:v>
                </c:pt>
                <c:pt idx="6">
                  <c:v>5.82</c:v>
                </c:pt>
                <c:pt idx="7">
                  <c:v>5.85</c:v>
                </c:pt>
                <c:pt idx="8">
                  <c:v>5.86</c:v>
                </c:pt>
                <c:pt idx="9">
                  <c:v>5.86</c:v>
                </c:pt>
                <c:pt idx="10">
                  <c:v>5.95</c:v>
                </c:pt>
                <c:pt idx="11">
                  <c:v>5.95</c:v>
                </c:pt>
                <c:pt idx="12">
                  <c:v>5.95</c:v>
                </c:pt>
                <c:pt idx="13">
                  <c:v>5.9</c:v>
                </c:pt>
                <c:pt idx="14">
                  <c:v>5.78</c:v>
                </c:pt>
                <c:pt idx="15">
                  <c:v>5.55</c:v>
                </c:pt>
                <c:pt idx="16">
                  <c:v>5.3</c:v>
                </c:pt>
                <c:pt idx="17">
                  <c:v>5.25</c:v>
                </c:pt>
                <c:pt idx="18">
                  <c:v>5.25</c:v>
                </c:pt>
                <c:pt idx="19">
                  <c:v>5.2</c:v>
                </c:pt>
                <c:pt idx="20">
                  <c:v>5.139247311827957</c:v>
                </c:pt>
                <c:pt idx="21">
                  <c:v>5.0784946236559145</c:v>
                </c:pt>
                <c:pt idx="22">
                  <c:v>5.017741935483871</c:v>
                </c:pt>
                <c:pt idx="23">
                  <c:v>4.956989247311828</c:v>
                </c:pt>
                <c:pt idx="24">
                  <c:v>4.896236559139785</c:v>
                </c:pt>
                <c:pt idx="25">
                  <c:v>4.835483870967742</c:v>
                </c:pt>
                <c:pt idx="26">
                  <c:v>4.7747311827956995</c:v>
                </c:pt>
                <c:pt idx="27">
                  <c:v>4.713978494623656</c:v>
                </c:pt>
                <c:pt idx="28">
                  <c:v>4.653225806451613</c:v>
                </c:pt>
                <c:pt idx="29">
                  <c:v>4.59247311827957</c:v>
                </c:pt>
                <c:pt idx="30">
                  <c:v>4.531720430107527</c:v>
                </c:pt>
                <c:pt idx="31">
                  <c:v>4.4709677419354845</c:v>
                </c:pt>
                <c:pt idx="32">
                  <c:v>4.393548387096774</c:v>
                </c:pt>
                <c:pt idx="33">
                  <c:v>4.316129032258065</c:v>
                </c:pt>
                <c:pt idx="34">
                  <c:v>4.2387096774193544</c:v>
                </c:pt>
                <c:pt idx="35">
                  <c:v>4.161290322580645</c:v>
                </c:pt>
                <c:pt idx="36">
                  <c:v>4.083870967741936</c:v>
                </c:pt>
                <c:pt idx="37">
                  <c:v>4.006451612903226</c:v>
                </c:pt>
                <c:pt idx="38">
                  <c:v>3.929032258064516</c:v>
                </c:pt>
                <c:pt idx="39">
                  <c:v>3.8516129032258064</c:v>
                </c:pt>
                <c:pt idx="40">
                  <c:v>3.774193548387097</c:v>
                </c:pt>
                <c:pt idx="41">
                  <c:v>3.696774193548387</c:v>
                </c:pt>
                <c:pt idx="42">
                  <c:v>3.6193548387096772</c:v>
                </c:pt>
                <c:pt idx="43">
                  <c:v>3.541935483870968</c:v>
                </c:pt>
                <c:pt idx="44">
                  <c:v>3.464516129032258</c:v>
                </c:pt>
                <c:pt idx="45">
                  <c:v>3.3870967741935485</c:v>
                </c:pt>
                <c:pt idx="46">
                  <c:v>3.3096774193548386</c:v>
                </c:pt>
                <c:pt idx="47">
                  <c:v>3.2322580645161287</c:v>
                </c:pt>
                <c:pt idx="48">
                  <c:v>3.1548387096774193</c:v>
                </c:pt>
                <c:pt idx="49">
                  <c:v>3.0774193548387094</c:v>
                </c:pt>
                <c:pt idx="50">
                  <c:v>3.02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3.02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4"/>
          <c:tx>
            <c:v>Other pull for comparison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Calculation!$S$8:$S$68</c:f>
              <c:numCache>
                <c:ptCount val="61"/>
              </c:numCache>
            </c:numRef>
          </c:val>
          <c:smooth val="0"/>
        </c:ser>
        <c:ser>
          <c:idx val="11"/>
          <c:order val="5"/>
          <c:tx>
            <c:v>Pull - Red Brass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Calculation!$O$8:$O$68</c:f>
              <c:numCache>
                <c:ptCount val="61"/>
                <c:pt idx="0">
                  <c:v>5.8857146665466065</c:v>
                </c:pt>
                <c:pt idx="1">
                  <c:v>6.519849768521588</c:v>
                </c:pt>
                <c:pt idx="2">
                  <c:v>6.041272295217804</c:v>
                </c:pt>
                <c:pt idx="3">
                  <c:v>6.623447937598298</c:v>
                </c:pt>
                <c:pt idx="4">
                  <c:v>5.884061155233885</c:v>
                </c:pt>
                <c:pt idx="5">
                  <c:v>6.342498660160221</c:v>
                </c:pt>
                <c:pt idx="6">
                  <c:v>6.7902369695162825</c:v>
                </c:pt>
                <c:pt idx="7">
                  <c:v>5.8888301013596775</c:v>
                </c:pt>
                <c:pt idx="8">
                  <c:v>6.305753881627864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2"/>
          <c:order val="6"/>
          <c:tx>
            <c:v>Pull - Yellow Brass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noFill/>
              </a:ln>
            </c:spPr>
          </c:marker>
          <c:val>
            <c:numRef>
              <c:f>Calculation!$P$8:$P$68</c:f>
              <c:numCach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6.630973043783424</c:v>
                </c:pt>
                <c:pt idx="10">
                  <c:v>7.065020190487337</c:v>
                </c:pt>
                <c:pt idx="11">
                  <c:v>7.5271838298428815</c:v>
                </c:pt>
                <c:pt idx="12">
                  <c:v>6.3012212842750115</c:v>
                </c:pt>
                <c:pt idx="13">
                  <c:v>6.664638001616908</c:v>
                </c:pt>
                <c:pt idx="14">
                  <c:v>7.057049175546102</c:v>
                </c:pt>
                <c:pt idx="15">
                  <c:v>5.70246877501869</c:v>
                </c:pt>
                <c:pt idx="16">
                  <c:v>6.01617276872597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3"/>
          <c:order val="7"/>
          <c:tx>
            <c:v>Pull - Iron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noFill/>
              </a:ln>
            </c:spPr>
          </c:marker>
          <c:val>
            <c:numRef>
              <c:f>Calculation!$Q$8:$Q$68</c:f>
              <c:numCach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5.768575590269752</c:v>
                </c:pt>
                <c:pt idx="18">
                  <c:v>6.071229622307363</c:v>
                </c:pt>
                <c:pt idx="19">
                  <c:v>6.365034648561566</c:v>
                </c:pt>
                <c:pt idx="20">
                  <c:v>5.750272709520668</c:v>
                </c:pt>
                <c:pt idx="21">
                  <c:v>5.998866857031955</c:v>
                </c:pt>
                <c:pt idx="22">
                  <c:v>6.265015425161882</c:v>
                </c:pt>
                <c:pt idx="23">
                  <c:v>5.560056631503386</c:v>
                </c:pt>
                <c:pt idx="24">
                  <c:v>5.762243179865223</c:v>
                </c:pt>
                <c:pt idx="25">
                  <c:v>5.964964797847698</c:v>
                </c:pt>
                <c:pt idx="26">
                  <c:v>6.167729286475017</c:v>
                </c:pt>
                <c:pt idx="27">
                  <c:v>5.339974295670231</c:v>
                </c:pt>
                <c:pt idx="28">
                  <c:v>5.481092730258027</c:v>
                </c:pt>
                <c:pt idx="29">
                  <c:v>5.5879244849586645</c:v>
                </c:pt>
                <c:pt idx="30">
                  <c:v>5.715695276006456</c:v>
                </c:pt>
                <c:pt idx="31">
                  <c:v>5.836591905273038</c:v>
                </c:pt>
                <c:pt idx="32">
                  <c:v>4.902575886610684</c:v>
                </c:pt>
                <c:pt idx="33">
                  <c:v>4.957030391412983</c:v>
                </c:pt>
                <c:pt idx="34">
                  <c:v>5.016579675103184</c:v>
                </c:pt>
                <c:pt idx="35">
                  <c:v>5.065923347307038</c:v>
                </c:pt>
                <c:pt idx="36">
                  <c:v>5.104492779692254</c:v>
                </c:pt>
                <c:pt idx="37">
                  <c:v>5.131799162357525</c:v>
                </c:pt>
                <c:pt idx="38">
                  <c:v>4.169434327530731</c:v>
                </c:pt>
                <c:pt idx="39">
                  <c:v>4.209043861087063</c:v>
                </c:pt>
                <c:pt idx="40">
                  <c:v>4.2238569874495075</c:v>
                </c:pt>
                <c:pt idx="41">
                  <c:v>4.231254283312059</c:v>
                </c:pt>
                <c:pt idx="42">
                  <c:v>4.231506459856298</c:v>
                </c:pt>
                <c:pt idx="43">
                  <c:v>4.248219175416105</c:v>
                </c:pt>
                <c:pt idx="44">
                  <c:v>4.2369623047806275</c:v>
                </c:pt>
                <c:pt idx="45">
                  <c:v>4.246423221656332</c:v>
                </c:pt>
                <c:pt idx="46">
                  <c:v>4.254623895786809</c:v>
                </c:pt>
                <c:pt idx="47">
                  <c:v>4.263020154255189</c:v>
                </c:pt>
                <c:pt idx="48">
                  <c:v>3.3519625251250664</c:v>
                </c:pt>
                <c:pt idx="49">
                  <c:v>3.361779488379935</c:v>
                </c:pt>
                <c:pt idx="50">
                  <c:v>3.349045234869705</c:v>
                </c:pt>
                <c:pt idx="51">
                  <c:v>3.340170982528995</c:v>
                </c:pt>
                <c:pt idx="52">
                  <c:v>3.3373684839107227</c:v>
                </c:pt>
                <c:pt idx="53">
                  <c:v>3.3432132608885405</c:v>
                </c:pt>
                <c:pt idx="54">
                  <c:v>3.3607134529172344</c:v>
                </c:pt>
                <c:pt idx="55">
                  <c:v>3.3566176200818614</c:v>
                </c:pt>
                <c:pt idx="56">
                  <c:v>3.4061977133470567</c:v>
                </c:pt>
                <c:pt idx="57">
                  <c:v>3.396492958264644</c:v>
                </c:pt>
                <c:pt idx="58">
                  <c:v>3.4054780448068613</c:v>
                </c:pt>
                <c:pt idx="59">
                  <c:v>3.4381199454867595</c:v>
                </c:pt>
                <c:pt idx="60">
                  <c:v>3.450544405559244</c:v>
                </c:pt>
              </c:numCache>
            </c:numRef>
          </c:val>
          <c:smooth val="0"/>
        </c:ser>
        <c:ser>
          <c:idx val="0"/>
          <c:order val="8"/>
          <c:tx>
            <c:v>Pull - Steel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Calculation!$R$8:$R$68</c:f>
              <c:numCach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11989207"/>
        <c:crossesAt val="5"/>
        <c:auto val="0"/>
        <c:lblOffset val="100"/>
        <c:noMultiLvlLbl val="0"/>
      </c:catAx>
      <c:valAx>
        <c:axId val="1198920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Kgs.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321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614"/>
          <c:w val="0.2055"/>
          <c:h val="0.330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Lower 8'  -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"/>
          <c:w val="0.995"/>
          <c:h val="0.915"/>
        </c:manualLayout>
      </c:layout>
      <c:lineChart>
        <c:grouping val="standard"/>
        <c:varyColors val="0"/>
        <c:ser>
          <c:idx val="0"/>
          <c:order val="0"/>
          <c:tx>
            <c:v>Stress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Calculation!$J$8:$J$68</c:f>
              <c:numCache>
                <c:ptCount val="61"/>
                <c:pt idx="0">
                  <c:v>20.16588310753921</c:v>
                </c:pt>
                <c:pt idx="1">
                  <c:v>22.338583461754325</c:v>
                </c:pt>
                <c:pt idx="2">
                  <c:v>24.633355473748107</c:v>
                </c:pt>
                <c:pt idx="3">
                  <c:v>27.00718317859572</c:v>
                </c:pt>
                <c:pt idx="4">
                  <c:v>29.03071359966196</c:v>
                </c:pt>
                <c:pt idx="5">
                  <c:v>31.292547315822762</c:v>
                </c:pt>
                <c:pt idx="6">
                  <c:v>33.50159346330388</c:v>
                </c:pt>
                <c:pt idx="7">
                  <c:v>35.86943527344322</c:v>
                </c:pt>
                <c:pt idx="8">
                  <c:v>38.408958454259064</c:v>
                </c:pt>
                <c:pt idx="9">
                  <c:v>40.38989991221161</c:v>
                </c:pt>
                <c:pt idx="10">
                  <c:v>43.03372317869097</c:v>
                </c:pt>
                <c:pt idx="11">
                  <c:v>45.84880672877931</c:v>
                </c:pt>
                <c:pt idx="12">
                  <c:v>48.57639604842862</c:v>
                </c:pt>
                <c:pt idx="13">
                  <c:v>51.37799173850141</c:v>
                </c:pt>
                <c:pt idx="14">
                  <c:v>54.40310698817265</c:v>
                </c:pt>
                <c:pt idx="15">
                  <c:v>57.41790855513589</c:v>
                </c:pt>
                <c:pt idx="16">
                  <c:v>60.576580340060566</c:v>
                </c:pt>
                <c:pt idx="17">
                  <c:v>58.083535185058885</c:v>
                </c:pt>
                <c:pt idx="18">
                  <c:v>61.13094538947893</c:v>
                </c:pt>
                <c:pt idx="19">
                  <c:v>64.08925534189912</c:v>
                </c:pt>
                <c:pt idx="20">
                  <c:v>67.14941940134598</c:v>
                </c:pt>
                <c:pt idx="21">
                  <c:v>70.05240392316131</c:v>
                </c:pt>
                <c:pt idx="22">
                  <c:v>73.1603820534566</c:v>
                </c:pt>
                <c:pt idx="23">
                  <c:v>76.2003994107876</c:v>
                </c:pt>
                <c:pt idx="24">
                  <c:v>78.97135962967562</c:v>
                </c:pt>
                <c:pt idx="25">
                  <c:v>81.74965296070756</c:v>
                </c:pt>
                <c:pt idx="26">
                  <c:v>84.52853383256445</c:v>
                </c:pt>
                <c:pt idx="27">
                  <c:v>87.09522009133677</c:v>
                </c:pt>
                <c:pt idx="28">
                  <c:v>89.39686808416225</c:v>
                </c:pt>
                <c:pt idx="29">
                  <c:v>91.13929879135497</c:v>
                </c:pt>
                <c:pt idx="30">
                  <c:v>93.22324611982333</c:v>
                </c:pt>
                <c:pt idx="31">
                  <c:v>95.1950755615514</c:v>
                </c:pt>
                <c:pt idx="32">
                  <c:v>96.75309124766994</c:v>
                </c:pt>
                <c:pt idx="33">
                  <c:v>97.82775929847413</c:v>
                </c:pt>
                <c:pt idx="34">
                  <c:v>99.0029735964</c:v>
                </c:pt>
                <c:pt idx="35">
                  <c:v>99.97677857762899</c:v>
                </c:pt>
                <c:pt idx="36">
                  <c:v>100.73795227432367</c:v>
                </c:pt>
                <c:pt idx="37">
                  <c:v>101.27684794769246</c:v>
                </c:pt>
                <c:pt idx="38">
                  <c:v>101.58571544029085</c:v>
                </c:pt>
                <c:pt idx="39">
                  <c:v>102.55077748192257</c:v>
                </c:pt>
                <c:pt idx="40">
                  <c:v>102.91169023920003</c:v>
                </c:pt>
                <c:pt idx="41">
                  <c:v>103.09192082529148</c:v>
                </c:pt>
                <c:pt idx="42">
                  <c:v>103.09806495244436</c:v>
                </c:pt>
                <c:pt idx="43">
                  <c:v>103.50526003785022</c:v>
                </c:pt>
                <c:pt idx="44">
                  <c:v>103.2309932747133</c:v>
                </c:pt>
                <c:pt idx="45">
                  <c:v>103.46150272372739</c:v>
                </c:pt>
                <c:pt idx="46">
                  <c:v>103.66130712960002</c:v>
                </c:pt>
                <c:pt idx="47">
                  <c:v>103.86587682815602</c:v>
                </c:pt>
                <c:pt idx="48">
                  <c:v>103.36171469889912</c:v>
                </c:pt>
                <c:pt idx="49">
                  <c:v>103.66443233000432</c:v>
                </c:pt>
                <c:pt idx="50">
                  <c:v>103.271756615893</c:v>
                </c:pt>
                <c:pt idx="51">
                  <c:v>102.9981085867963</c:v>
                </c:pt>
                <c:pt idx="52">
                  <c:v>102.91169023920003</c:v>
                </c:pt>
                <c:pt idx="53">
                  <c:v>103.09192082529148</c:v>
                </c:pt>
                <c:pt idx="54">
                  <c:v>103.63155987020542</c:v>
                </c:pt>
                <c:pt idx="55">
                  <c:v>103.50526003785022</c:v>
                </c:pt>
                <c:pt idx="56">
                  <c:v>105.03412064306559</c:v>
                </c:pt>
                <c:pt idx="57">
                  <c:v>104.73486308319367</c:v>
                </c:pt>
                <c:pt idx="58">
                  <c:v>105.01192881551027</c:v>
                </c:pt>
                <c:pt idx="59">
                  <c:v>106.0184802909566</c:v>
                </c:pt>
                <c:pt idx="60">
                  <c:v>106.4016031593282</c:v>
                </c:pt>
              </c:numCache>
            </c:numRef>
          </c:val>
          <c:smooth val="0"/>
        </c:ser>
        <c:ser>
          <c:idx val="1"/>
          <c:order val="1"/>
          <c:tx>
            <c:v>Breaking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Calculation!$K$8:$K$68</c:f>
              <c:numCache>
                <c:ptCount val="61"/>
                <c:pt idx="0">
                  <c:v>56.2455664</c:v>
                </c:pt>
                <c:pt idx="1">
                  <c:v>56.2455664</c:v>
                </c:pt>
                <c:pt idx="2">
                  <c:v>56.2455664</c:v>
                </c:pt>
                <c:pt idx="3">
                  <c:v>56.2455664</c:v>
                </c:pt>
                <c:pt idx="4">
                  <c:v>77.3376538</c:v>
                </c:pt>
                <c:pt idx="5">
                  <c:v>77.3376538</c:v>
                </c:pt>
                <c:pt idx="6">
                  <c:v>77.3376538</c:v>
                </c:pt>
                <c:pt idx="7">
                  <c:v>77.3376538</c:v>
                </c:pt>
                <c:pt idx="8">
                  <c:v>77.3376538</c:v>
                </c:pt>
                <c:pt idx="9">
                  <c:v>84.3683496</c:v>
                </c:pt>
                <c:pt idx="10">
                  <c:v>84.3683496</c:v>
                </c:pt>
                <c:pt idx="11">
                  <c:v>84.3683496</c:v>
                </c:pt>
                <c:pt idx="12">
                  <c:v>84.3683496</c:v>
                </c:pt>
                <c:pt idx="13">
                  <c:v>84.3683496</c:v>
                </c:pt>
                <c:pt idx="14">
                  <c:v>84.3683496</c:v>
                </c:pt>
                <c:pt idx="15">
                  <c:v>87.8836975</c:v>
                </c:pt>
                <c:pt idx="16">
                  <c:v>87.8836975</c:v>
                </c:pt>
                <c:pt idx="17">
                  <c:v>119.52182859999999</c:v>
                </c:pt>
                <c:pt idx="18">
                  <c:v>119.52182859999999</c:v>
                </c:pt>
                <c:pt idx="19">
                  <c:v>119.52182859999999</c:v>
                </c:pt>
                <c:pt idx="20">
                  <c:v>119.52182859999999</c:v>
                </c:pt>
                <c:pt idx="21">
                  <c:v>119.52182859999999</c:v>
                </c:pt>
                <c:pt idx="22">
                  <c:v>119.52182859999999</c:v>
                </c:pt>
                <c:pt idx="23">
                  <c:v>119.52182859999999</c:v>
                </c:pt>
                <c:pt idx="24">
                  <c:v>119.52182859999999</c:v>
                </c:pt>
                <c:pt idx="25">
                  <c:v>119.52182859999999</c:v>
                </c:pt>
                <c:pt idx="26">
                  <c:v>119.52182859999999</c:v>
                </c:pt>
                <c:pt idx="27">
                  <c:v>126.5525244</c:v>
                </c:pt>
                <c:pt idx="28">
                  <c:v>126.5525244</c:v>
                </c:pt>
                <c:pt idx="29">
                  <c:v>126.5525244</c:v>
                </c:pt>
                <c:pt idx="30">
                  <c:v>126.5525244</c:v>
                </c:pt>
                <c:pt idx="31">
                  <c:v>126.5525244</c:v>
                </c:pt>
                <c:pt idx="32">
                  <c:v>133.5832202</c:v>
                </c:pt>
                <c:pt idx="33">
                  <c:v>133.5832202</c:v>
                </c:pt>
                <c:pt idx="34">
                  <c:v>133.5832202</c:v>
                </c:pt>
                <c:pt idx="35">
                  <c:v>133.5832202</c:v>
                </c:pt>
                <c:pt idx="36">
                  <c:v>133.5832202</c:v>
                </c:pt>
                <c:pt idx="37">
                  <c:v>133.5832202</c:v>
                </c:pt>
                <c:pt idx="38">
                  <c:v>140.613916</c:v>
                </c:pt>
                <c:pt idx="39">
                  <c:v>140.613916</c:v>
                </c:pt>
                <c:pt idx="40">
                  <c:v>140.613916</c:v>
                </c:pt>
                <c:pt idx="41">
                  <c:v>140.613916</c:v>
                </c:pt>
                <c:pt idx="42">
                  <c:v>140.613916</c:v>
                </c:pt>
                <c:pt idx="43">
                  <c:v>140.613916</c:v>
                </c:pt>
                <c:pt idx="44">
                  <c:v>140.613916</c:v>
                </c:pt>
                <c:pt idx="45">
                  <c:v>140.613916</c:v>
                </c:pt>
                <c:pt idx="46">
                  <c:v>140.613916</c:v>
                </c:pt>
                <c:pt idx="47">
                  <c:v>140.613916</c:v>
                </c:pt>
                <c:pt idx="48">
                  <c:v>147.6446118</c:v>
                </c:pt>
                <c:pt idx="49">
                  <c:v>147.6446118</c:v>
                </c:pt>
                <c:pt idx="50">
                  <c:v>147.6446118</c:v>
                </c:pt>
                <c:pt idx="51">
                  <c:v>147.6446118</c:v>
                </c:pt>
                <c:pt idx="52">
                  <c:v>147.6446118</c:v>
                </c:pt>
                <c:pt idx="53">
                  <c:v>147.6446118</c:v>
                </c:pt>
                <c:pt idx="54">
                  <c:v>147.6446118</c:v>
                </c:pt>
                <c:pt idx="55">
                  <c:v>147.6446118</c:v>
                </c:pt>
                <c:pt idx="56">
                  <c:v>147.6446118</c:v>
                </c:pt>
                <c:pt idx="57">
                  <c:v>147.6446118</c:v>
                </c:pt>
                <c:pt idx="58">
                  <c:v>147.6446118</c:v>
                </c:pt>
                <c:pt idx="59">
                  <c:v>147.6446118</c:v>
                </c:pt>
                <c:pt idx="60">
                  <c:v>147.6446118</c:v>
                </c:pt>
              </c:numCache>
            </c:numRef>
          </c:val>
          <c:smooth val="0"/>
        </c:ser>
        <c:axId val="40794000"/>
        <c:axId val="31601681"/>
      </c:lineChart>
      <c:catAx>
        <c:axId val="407940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31601681"/>
        <c:crosses val="autoZero"/>
        <c:auto val="0"/>
        <c:lblOffset val="100"/>
        <c:noMultiLvlLbl val="0"/>
      </c:catAx>
      <c:valAx>
        <c:axId val="3160168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Kgs/mm</a:t>
                </a:r>
                <a:r>
                  <a:rPr lang="en-US" cap="none" sz="1000" b="0" i="0" u="none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7940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578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
4' - Pull</a:t>
            </a:r>
          </a:p>
        </c:rich>
      </c:tx>
      <c:layout>
        <c:manualLayout>
          <c:xMode val="factor"/>
          <c:yMode val="factor"/>
          <c:x val="0.001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525"/>
          <c:w val="0.99675"/>
          <c:h val="0.99475"/>
        </c:manualLayout>
      </c:layout>
      <c:lineChart>
        <c:grouping val="standard"/>
        <c:varyColors val="0"/>
        <c:ser>
          <c:idx val="5"/>
          <c:order val="0"/>
          <c:tx>
            <c:v>Breaking risk %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Calculation!$AC$8:$AC$68</c:f>
              <c:numCache>
                <c:ptCount val="63"/>
                <c:pt idx="0">
                  <c:v>3.5723253984372274</c:v>
                </c:pt>
                <c:pt idx="1">
                  <c:v>3.825126468706336</c:v>
                </c:pt>
                <c:pt idx="2">
                  <c:v>4.091157194513004</c:v>
                </c:pt>
                <c:pt idx="3">
                  <c:v>4.00625959424754</c:v>
                </c:pt>
                <c:pt idx="4">
                  <c:v>4.274401866566496</c:v>
                </c:pt>
                <c:pt idx="5">
                  <c:v>4.554471732014117</c:v>
                </c:pt>
                <c:pt idx="6">
                  <c:v>4.846144998232119</c:v>
                </c:pt>
                <c:pt idx="7">
                  <c:v>5.148934195143502</c:v>
                </c:pt>
                <c:pt idx="8">
                  <c:v>5.462165080385896</c:v>
                </c:pt>
                <c:pt idx="9">
                  <c:v>5.467079201252066</c:v>
                </c:pt>
                <c:pt idx="10">
                  <c:v>5.78009527910205</c:v>
                </c:pt>
                <c:pt idx="11">
                  <c:v>6.0997603923242005</c:v>
                </c:pt>
                <c:pt idx="12">
                  <c:v>6.4244750478563795</c:v>
                </c:pt>
                <c:pt idx="13">
                  <c:v>6.752327847289993</c:v>
                </c:pt>
                <c:pt idx="14">
                  <c:v>7.100666625907842</c:v>
                </c:pt>
                <c:pt idx="15">
                  <c:v>7.164013530442352</c:v>
                </c:pt>
                <c:pt idx="16">
                  <c:v>7.477209154069979</c:v>
                </c:pt>
                <c:pt idx="17">
                  <c:v>5.134380983888183</c:v>
                </c:pt>
                <c:pt idx="18">
                  <c:v>5.346048097772728</c:v>
                </c:pt>
                <c:pt idx="19">
                  <c:v>5.550141688670793</c:v>
                </c:pt>
                <c:pt idx="20">
                  <c:v>5.743785850220252</c:v>
                </c:pt>
                <c:pt idx="21">
                  <c:v>5.923777586068698</c:v>
                </c:pt>
                <c:pt idx="22">
                  <c:v>5.787974546701337</c:v>
                </c:pt>
                <c:pt idx="23">
                  <c:v>5.947173089644289</c:v>
                </c:pt>
                <c:pt idx="24">
                  <c:v>6.085821615812863</c:v>
                </c:pt>
                <c:pt idx="25">
                  <c:v>6.226647881326894</c:v>
                </c:pt>
                <c:pt idx="26">
                  <c:v>6.342121392689758</c:v>
                </c:pt>
                <c:pt idx="27">
                  <c:v>6.458413828810289</c:v>
                </c:pt>
                <c:pt idx="28">
                  <c:v>6.2169436591851115</c:v>
                </c:pt>
                <c:pt idx="29">
                  <c:v>6.264797459336005</c:v>
                </c:pt>
                <c:pt idx="30">
                  <c:v>6.309416221140058</c:v>
                </c:pt>
                <c:pt idx="31">
                  <c:v>6.352282163415204</c:v>
                </c:pt>
                <c:pt idx="32">
                  <c:v>6.395218041764736</c:v>
                </c:pt>
                <c:pt idx="33">
                  <c:v>6.398268276337468</c:v>
                </c:pt>
                <c:pt idx="34">
                  <c:v>6.40104290329273</c:v>
                </c:pt>
                <c:pt idx="35">
                  <c:v>6.4061513107134544</c:v>
                </c:pt>
                <c:pt idx="36">
                  <c:v>6.366645041233889</c:v>
                </c:pt>
                <c:pt idx="37">
                  <c:v>6.330301948316879</c:v>
                </c:pt>
                <c:pt idx="38">
                  <c:v>6.300724445453026</c:v>
                </c:pt>
                <c:pt idx="39">
                  <c:v>6.22324639481716</c:v>
                </c:pt>
                <c:pt idx="40">
                  <c:v>6.2169436591851115</c:v>
                </c:pt>
                <c:pt idx="41">
                  <c:v>6.166011136173427</c:v>
                </c:pt>
                <c:pt idx="42">
                  <c:v>6.065765376309448</c:v>
                </c:pt>
                <c:pt idx="43">
                  <c:v>5.9841135605183045</c:v>
                </c:pt>
                <c:pt idx="44">
                  <c:v>6.004167519169271</c:v>
                </c:pt>
                <c:pt idx="45">
                  <c:v>5.699288483683567</c:v>
                </c:pt>
                <c:pt idx="46">
                  <c:v>5.719884211386454</c:v>
                </c:pt>
                <c:pt idx="47">
                  <c:v>5.702586664288528</c:v>
                </c:pt>
                <c:pt idx="48">
                  <c:v>5.735144162370504</c:v>
                </c:pt>
                <c:pt idx="49">
                  <c:v>5.731184085351176</c:v>
                </c:pt>
                <c:pt idx="50">
                  <c:v>5.790155912751995</c:v>
                </c:pt>
                <c:pt idx="51">
                  <c:v>5.815600493554665</c:v>
                </c:pt>
                <c:pt idx="52">
                  <c:v>5.920898723033439</c:v>
                </c:pt>
                <c:pt idx="53">
                  <c:v>3.1794982914743404</c:v>
                </c:pt>
                <c:pt idx="54">
                  <c:v>3.2746571425015865</c:v>
                </c:pt>
                <c:pt idx="55">
                  <c:v>3.359643706643944</c:v>
                </c:pt>
                <c:pt idx="56">
                  <c:v>3.515482621087535</c:v>
                </c:pt>
                <c:pt idx="57">
                  <c:v>3.669172137052983</c:v>
                </c:pt>
                <c:pt idx="58">
                  <c:v>3.8190814478024286</c:v>
                </c:pt>
                <c:pt idx="59">
                  <c:v>4.069757813087158</c:v>
                </c:pt>
                <c:pt idx="60">
                  <c:v>4.330883350401808</c:v>
                </c:pt>
                <c:pt idx="61">
                  <c:v>4.60203275868469</c:v>
                </c:pt>
                <c:pt idx="62">
                  <c:v>4.8826147515104665</c:v>
                </c:pt>
              </c:numCache>
            </c:numRef>
          </c:val>
          <c:smooth val="0"/>
        </c:ser>
        <c:ser>
          <c:idx val="0"/>
          <c:order val="1"/>
          <c:tx>
            <c:v>Historical-Upper Envolvent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Calculation!$AK$8:$AK$68</c:f>
              <c:numCache>
                <c:ptCount val="61"/>
                <c:pt idx="0">
                  <c:v>6.2</c:v>
                </c:pt>
                <c:pt idx="1">
                  <c:v>6.15</c:v>
                </c:pt>
                <c:pt idx="2">
                  <c:v>6.025</c:v>
                </c:pt>
                <c:pt idx="3">
                  <c:v>5.9</c:v>
                </c:pt>
                <c:pt idx="4">
                  <c:v>5.816666666666666</c:v>
                </c:pt>
                <c:pt idx="5">
                  <c:v>5.783333333333333</c:v>
                </c:pt>
                <c:pt idx="6">
                  <c:v>5.75</c:v>
                </c:pt>
                <c:pt idx="7">
                  <c:v>5.716666666666667</c:v>
                </c:pt>
                <c:pt idx="8">
                  <c:v>5.683333333333334</c:v>
                </c:pt>
                <c:pt idx="9">
                  <c:v>5.65</c:v>
                </c:pt>
                <c:pt idx="10">
                  <c:v>5.8</c:v>
                </c:pt>
                <c:pt idx="11">
                  <c:v>5.666666666666667</c:v>
                </c:pt>
                <c:pt idx="12">
                  <c:v>5.533333333333334</c:v>
                </c:pt>
                <c:pt idx="13">
                  <c:v>5.4</c:v>
                </c:pt>
                <c:pt idx="14">
                  <c:v>5.2666666666666675</c:v>
                </c:pt>
                <c:pt idx="15">
                  <c:v>5.133333333333335</c:v>
                </c:pt>
                <c:pt idx="16">
                  <c:v>5</c:v>
                </c:pt>
                <c:pt idx="17">
                  <c:v>5.1</c:v>
                </c:pt>
                <c:pt idx="18">
                  <c:v>5.1</c:v>
                </c:pt>
                <c:pt idx="19">
                  <c:v>5.1</c:v>
                </c:pt>
                <c:pt idx="20">
                  <c:v>5.1</c:v>
                </c:pt>
                <c:pt idx="21">
                  <c:v>5.08</c:v>
                </c:pt>
                <c:pt idx="22">
                  <c:v>5.032692307692307</c:v>
                </c:pt>
                <c:pt idx="23">
                  <c:v>4.965384615384615</c:v>
                </c:pt>
                <c:pt idx="24">
                  <c:v>4.898076923076923</c:v>
                </c:pt>
                <c:pt idx="25">
                  <c:v>4.8307692307692305</c:v>
                </c:pt>
                <c:pt idx="26">
                  <c:v>4.763461538461538</c:v>
                </c:pt>
                <c:pt idx="27">
                  <c:v>4.6961538461538455</c:v>
                </c:pt>
                <c:pt idx="28">
                  <c:v>4.628846153846154</c:v>
                </c:pt>
                <c:pt idx="29">
                  <c:v>4.561538461538461</c:v>
                </c:pt>
                <c:pt idx="30">
                  <c:v>4.494230769230769</c:v>
                </c:pt>
                <c:pt idx="31">
                  <c:v>4.426923076923076</c:v>
                </c:pt>
                <c:pt idx="32">
                  <c:v>4.359615384615385</c:v>
                </c:pt>
                <c:pt idx="33">
                  <c:v>4.292307692307692</c:v>
                </c:pt>
                <c:pt idx="34">
                  <c:v>4.225</c:v>
                </c:pt>
                <c:pt idx="35">
                  <c:v>4.157692307692307</c:v>
                </c:pt>
                <c:pt idx="36">
                  <c:v>4.090384615384615</c:v>
                </c:pt>
                <c:pt idx="37">
                  <c:v>4.023076923076923</c:v>
                </c:pt>
                <c:pt idx="38">
                  <c:v>3.9557692307692305</c:v>
                </c:pt>
                <c:pt idx="39">
                  <c:v>3.888461538461538</c:v>
                </c:pt>
                <c:pt idx="40">
                  <c:v>3.821153846153846</c:v>
                </c:pt>
                <c:pt idx="41">
                  <c:v>3.753846153846154</c:v>
                </c:pt>
                <c:pt idx="42">
                  <c:v>3.6865384615384613</c:v>
                </c:pt>
                <c:pt idx="43">
                  <c:v>3.619230769230769</c:v>
                </c:pt>
                <c:pt idx="44">
                  <c:v>3.5519230769230767</c:v>
                </c:pt>
                <c:pt idx="45">
                  <c:v>3.4846153846153842</c:v>
                </c:pt>
                <c:pt idx="46">
                  <c:v>3.417307692307692</c:v>
                </c:pt>
                <c:pt idx="47">
                  <c:v>3.34</c:v>
                </c:pt>
                <c:pt idx="48">
                  <c:v>3.24</c:v>
                </c:pt>
                <c:pt idx="49">
                  <c:v>3.11</c:v>
                </c:pt>
                <c:pt idx="50">
                  <c:v>3</c:v>
                </c:pt>
                <c:pt idx="51">
                  <c:v>2.9</c:v>
                </c:pt>
                <c:pt idx="52">
                  <c:v>2.83</c:v>
                </c:pt>
                <c:pt idx="53">
                  <c:v>2.78</c:v>
                </c:pt>
                <c:pt idx="54">
                  <c:v>2.75</c:v>
                </c:pt>
                <c:pt idx="55">
                  <c:v>2.75</c:v>
                </c:pt>
                <c:pt idx="56">
                  <c:v>2.81</c:v>
                </c:pt>
                <c:pt idx="57">
                  <c:v>2.92</c:v>
                </c:pt>
                <c:pt idx="58">
                  <c:v>3.07</c:v>
                </c:pt>
                <c:pt idx="59">
                  <c:v>3.24</c:v>
                </c:pt>
                <c:pt idx="60">
                  <c:v>3.45</c:v>
                </c:pt>
              </c:numCache>
            </c:numRef>
          </c:val>
          <c:smooth val="0"/>
        </c:ser>
        <c:ser>
          <c:idx val="4"/>
          <c:order val="2"/>
          <c:tx>
            <c:v>Historical-Weighted Ave. Smoothed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Calculation!$AL$8:$AL$68</c:f>
              <c:numCache>
                <c:ptCount val="61"/>
                <c:pt idx="0">
                  <c:v>4.9</c:v>
                </c:pt>
                <c:pt idx="1">
                  <c:v>4.801840676252612</c:v>
                </c:pt>
                <c:pt idx="2">
                  <c:v>4.703681352505223</c:v>
                </c:pt>
                <c:pt idx="3">
                  <c:v>4.605522028757834</c:v>
                </c:pt>
                <c:pt idx="4">
                  <c:v>4.5445507115303245</c:v>
                </c:pt>
                <c:pt idx="5">
                  <c:v>4.560728976492256</c:v>
                </c:pt>
                <c:pt idx="6">
                  <c:v>4.628899066993495</c:v>
                </c:pt>
                <c:pt idx="7">
                  <c:v>4.7</c:v>
                </c:pt>
                <c:pt idx="8">
                  <c:v>4.78</c:v>
                </c:pt>
                <c:pt idx="9">
                  <c:v>4.911349166998933</c:v>
                </c:pt>
                <c:pt idx="10">
                  <c:v>5</c:v>
                </c:pt>
                <c:pt idx="11">
                  <c:v>4.88</c:v>
                </c:pt>
                <c:pt idx="12">
                  <c:v>4.76</c:v>
                </c:pt>
                <c:pt idx="13">
                  <c:v>4.64</c:v>
                </c:pt>
                <c:pt idx="14">
                  <c:v>4.52</c:v>
                </c:pt>
                <c:pt idx="15">
                  <c:v>4.503939676415668</c:v>
                </c:pt>
                <c:pt idx="16">
                  <c:v>4.431615214600385</c:v>
                </c:pt>
                <c:pt idx="17">
                  <c:v>4.4</c:v>
                </c:pt>
                <c:pt idx="18">
                  <c:v>4.4</c:v>
                </c:pt>
                <c:pt idx="19">
                  <c:v>4.4</c:v>
                </c:pt>
                <c:pt idx="20">
                  <c:v>4.4</c:v>
                </c:pt>
                <c:pt idx="21">
                  <c:v>4.38</c:v>
                </c:pt>
                <c:pt idx="22">
                  <c:v>4.355555555555556</c:v>
                </c:pt>
                <c:pt idx="23">
                  <c:v>4.311111111111112</c:v>
                </c:pt>
                <c:pt idx="24">
                  <c:v>4.266666666666667</c:v>
                </c:pt>
                <c:pt idx="25">
                  <c:v>4.222222222222222</c:v>
                </c:pt>
                <c:pt idx="26">
                  <c:v>4.177777777777778</c:v>
                </c:pt>
                <c:pt idx="27">
                  <c:v>4.133333333333334</c:v>
                </c:pt>
                <c:pt idx="28">
                  <c:v>4.088888888888889</c:v>
                </c:pt>
                <c:pt idx="29">
                  <c:v>4.044444444444444</c:v>
                </c:pt>
                <c:pt idx="30">
                  <c:v>3.99</c:v>
                </c:pt>
                <c:pt idx="31">
                  <c:v>3.933333333333333</c:v>
                </c:pt>
                <c:pt idx="32">
                  <c:v>3.8666666666666667</c:v>
                </c:pt>
                <c:pt idx="33">
                  <c:v>3.8</c:v>
                </c:pt>
                <c:pt idx="34">
                  <c:v>3.7333333333333334</c:v>
                </c:pt>
                <c:pt idx="35">
                  <c:v>3.6666666666666665</c:v>
                </c:pt>
                <c:pt idx="36">
                  <c:v>3.6</c:v>
                </c:pt>
                <c:pt idx="37">
                  <c:v>3.533333333333333</c:v>
                </c:pt>
                <c:pt idx="38">
                  <c:v>3.4666666666666663</c:v>
                </c:pt>
                <c:pt idx="39">
                  <c:v>3.4</c:v>
                </c:pt>
                <c:pt idx="40">
                  <c:v>3.3259222456675905</c:v>
                </c:pt>
                <c:pt idx="41">
                  <c:v>3.2518444913351816</c:v>
                </c:pt>
                <c:pt idx="42">
                  <c:v>3.1777667370027722</c:v>
                </c:pt>
                <c:pt idx="43">
                  <c:v>3.103688982670363</c:v>
                </c:pt>
                <c:pt idx="44">
                  <c:v>3.029611228337954</c:v>
                </c:pt>
                <c:pt idx="45">
                  <c:v>2.9555334740055446</c:v>
                </c:pt>
                <c:pt idx="46">
                  <c:v>2.881455719673135</c:v>
                </c:pt>
                <c:pt idx="47">
                  <c:v>2.807377965340726</c:v>
                </c:pt>
                <c:pt idx="48">
                  <c:v>2.7004547719593908</c:v>
                </c:pt>
                <c:pt idx="49">
                  <c:v>2.577054241202416</c:v>
                </c:pt>
                <c:pt idx="50">
                  <c:v>2.4629939941343673</c:v>
                </c:pt>
                <c:pt idx="51">
                  <c:v>2.368989909551729</c:v>
                </c:pt>
                <c:pt idx="52">
                  <c:v>2.3057966634241933</c:v>
                </c:pt>
                <c:pt idx="53">
                  <c:v>2.2796684732594676</c:v>
                </c:pt>
                <c:pt idx="54">
                  <c:v>2.3003638681710306</c:v>
                </c:pt>
                <c:pt idx="55">
                  <c:v>2.364840528828888</c:v>
                </c:pt>
                <c:pt idx="56">
                  <c:v>2.4675325773358288</c:v>
                </c:pt>
                <c:pt idx="57">
                  <c:v>2.597709899462745</c:v>
                </c:pt>
                <c:pt idx="58">
                  <c:v>2.7512099418457714</c:v>
                </c:pt>
                <c:pt idx="59">
                  <c:v>2.9075628137844634</c:v>
                </c:pt>
                <c:pt idx="60">
                  <c:v>3.05</c:v>
                </c:pt>
              </c:numCache>
            </c:numRef>
          </c:val>
          <c:smooth val="0"/>
        </c:ser>
        <c:ser>
          <c:idx val="3"/>
          <c:order val="3"/>
          <c:tx>
            <c:v>Historical-Lower Envolvent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Calculation!$AJ$8:$AJ$68</c:f>
              <c:numCache>
                <c:ptCount val="61"/>
                <c:pt idx="0">
                  <c:v>4</c:v>
                </c:pt>
                <c:pt idx="1">
                  <c:v>3.95</c:v>
                </c:pt>
                <c:pt idx="2">
                  <c:v>3.91</c:v>
                </c:pt>
                <c:pt idx="3">
                  <c:v>3.87</c:v>
                </c:pt>
                <c:pt idx="4">
                  <c:v>3.84</c:v>
                </c:pt>
                <c:pt idx="5">
                  <c:v>3.81</c:v>
                </c:pt>
                <c:pt idx="6">
                  <c:v>3.81</c:v>
                </c:pt>
                <c:pt idx="7">
                  <c:v>3.85</c:v>
                </c:pt>
                <c:pt idx="8">
                  <c:v>3.9</c:v>
                </c:pt>
                <c:pt idx="9">
                  <c:v>4</c:v>
                </c:pt>
                <c:pt idx="10">
                  <c:v>4.1</c:v>
                </c:pt>
                <c:pt idx="11">
                  <c:v>4.066666666666666</c:v>
                </c:pt>
                <c:pt idx="12">
                  <c:v>4.033333333333333</c:v>
                </c:pt>
                <c:pt idx="13">
                  <c:v>4</c:v>
                </c:pt>
                <c:pt idx="14">
                  <c:v>3.9666666666666663</c:v>
                </c:pt>
                <c:pt idx="15">
                  <c:v>3.933333333333333</c:v>
                </c:pt>
                <c:pt idx="16">
                  <c:v>3.9</c:v>
                </c:pt>
                <c:pt idx="17">
                  <c:v>3.8</c:v>
                </c:pt>
                <c:pt idx="18">
                  <c:v>3.7642857142857142</c:v>
                </c:pt>
                <c:pt idx="19">
                  <c:v>3.7285714285714286</c:v>
                </c:pt>
                <c:pt idx="20">
                  <c:v>3.6928571428571426</c:v>
                </c:pt>
                <c:pt idx="21">
                  <c:v>3.657142857142857</c:v>
                </c:pt>
                <c:pt idx="22">
                  <c:v>3.6214285714285714</c:v>
                </c:pt>
                <c:pt idx="23">
                  <c:v>3.5857142857142854</c:v>
                </c:pt>
                <c:pt idx="24">
                  <c:v>3.55</c:v>
                </c:pt>
                <c:pt idx="25">
                  <c:v>3.5142857142857142</c:v>
                </c:pt>
                <c:pt idx="26">
                  <c:v>3.4785714285714286</c:v>
                </c:pt>
                <c:pt idx="27">
                  <c:v>3.442857142857143</c:v>
                </c:pt>
                <c:pt idx="28">
                  <c:v>3.407142857142857</c:v>
                </c:pt>
                <c:pt idx="29">
                  <c:v>3.3714285714285714</c:v>
                </c:pt>
                <c:pt idx="30">
                  <c:v>3.335714285714286</c:v>
                </c:pt>
                <c:pt idx="31">
                  <c:v>3.29</c:v>
                </c:pt>
                <c:pt idx="32">
                  <c:v>3.245</c:v>
                </c:pt>
                <c:pt idx="33">
                  <c:v>3.2</c:v>
                </c:pt>
                <c:pt idx="34">
                  <c:v>3.15</c:v>
                </c:pt>
                <c:pt idx="35">
                  <c:v>3.1</c:v>
                </c:pt>
                <c:pt idx="36">
                  <c:v>3.05</c:v>
                </c:pt>
                <c:pt idx="37">
                  <c:v>3</c:v>
                </c:pt>
                <c:pt idx="38">
                  <c:v>2.95</c:v>
                </c:pt>
                <c:pt idx="39">
                  <c:v>2.9</c:v>
                </c:pt>
                <c:pt idx="40">
                  <c:v>2.85</c:v>
                </c:pt>
                <c:pt idx="41">
                  <c:v>2.8</c:v>
                </c:pt>
                <c:pt idx="42">
                  <c:v>2.7716666666666665</c:v>
                </c:pt>
                <c:pt idx="43">
                  <c:v>2.743333333333333</c:v>
                </c:pt>
                <c:pt idx="44">
                  <c:v>2.715</c:v>
                </c:pt>
                <c:pt idx="45">
                  <c:v>2.6866666666666665</c:v>
                </c:pt>
                <c:pt idx="46">
                  <c:v>2.658333333333333</c:v>
                </c:pt>
                <c:pt idx="47">
                  <c:v>2.6</c:v>
                </c:pt>
                <c:pt idx="48">
                  <c:v>2.456666666666667</c:v>
                </c:pt>
                <c:pt idx="49">
                  <c:v>2.263333333333334</c:v>
                </c:pt>
                <c:pt idx="50">
                  <c:v>2.1</c:v>
                </c:pt>
                <c:pt idx="51">
                  <c:v>2.07</c:v>
                </c:pt>
                <c:pt idx="52">
                  <c:v>2.07</c:v>
                </c:pt>
                <c:pt idx="53">
                  <c:v>2.07</c:v>
                </c:pt>
                <c:pt idx="54">
                  <c:v>2.09</c:v>
                </c:pt>
                <c:pt idx="55">
                  <c:v>2.13</c:v>
                </c:pt>
                <c:pt idx="56">
                  <c:v>2.19</c:v>
                </c:pt>
                <c:pt idx="57">
                  <c:v>2.26</c:v>
                </c:pt>
                <c:pt idx="58">
                  <c:v>2.35</c:v>
                </c:pt>
                <c:pt idx="59">
                  <c:v>2.45</c:v>
                </c:pt>
                <c:pt idx="60">
                  <c:v>2.55</c:v>
                </c:pt>
              </c:numCache>
            </c:numRef>
          </c:val>
          <c:smooth val="0"/>
        </c:ser>
        <c:ser>
          <c:idx val="1"/>
          <c:order val="4"/>
          <c:tx>
            <c:v>Other pull for comparison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Calculation!$AI$8:$AI$68</c:f>
              <c:numCache>
                <c:ptCount val="63"/>
              </c:numCache>
            </c:numRef>
          </c:val>
          <c:smooth val="0"/>
        </c:ser>
        <c:ser>
          <c:idx val="2"/>
          <c:order val="5"/>
          <c:tx>
            <c:v>Pull - Red Brass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7"/>
            <c:spPr>
              <a:ln w="381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val>
            <c:numRef>
              <c:f>Calculation!$AE$8:$AE$68</c:f>
              <c:numCache>
                <c:ptCount val="63"/>
                <c:pt idx="0">
                  <c:v>4.535722639485439</c:v>
                </c:pt>
                <c:pt idx="1">
                  <c:v>4.856699988919328</c:v>
                </c:pt>
                <c:pt idx="2">
                  <c:v>5.194474813790521</c:v>
                </c:pt>
                <c:pt idx="3">
                  <c:v>4.384479875846546</c:v>
                </c:pt>
                <c:pt idx="4">
                  <c:v>4.677936744825862</c:v>
                </c:pt>
                <c:pt idx="5">
                  <c:v>4.984447259184276</c:v>
                </c:pt>
                <c:pt idx="6">
                  <c:v>4.060612100014989</c:v>
                </c:pt>
                <c:pt idx="7">
                  <c:v>4.314320867949237</c:v>
                </c:pt>
                <c:pt idx="8">
                  <c:v>4.576778785155112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</c:numCache>
            </c:numRef>
          </c:val>
          <c:smooth val="0"/>
        </c:ser>
        <c:ser>
          <c:idx val="8"/>
          <c:order val="6"/>
          <c:tx>
            <c:v>Pull - Yellow Brass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noFill/>
              </a:ln>
            </c:spPr>
          </c:marker>
          <c:val>
            <c:numRef>
              <c:f>Calculation!$AF$8:$AF$68</c:f>
              <c:numCache>
                <c:ptCount val="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4.771767036058838</c:v>
                </c:pt>
                <c:pt idx="10">
                  <c:v>5.044973211981607</c:v>
                </c:pt>
                <c:pt idx="11">
                  <c:v>4.590576995752035</c:v>
                </c:pt>
                <c:pt idx="12">
                  <c:v>4.83495177967721</c:v>
                </c:pt>
                <c:pt idx="13">
                  <c:v>4.329959242689911</c:v>
                </c:pt>
                <c:pt idx="14">
                  <c:v>4.55333298107689</c:v>
                </c:pt>
                <c:pt idx="15">
                  <c:v>4.0146057549611704</c:v>
                </c:pt>
                <c:pt idx="16">
                  <c:v>4.190115885937498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</c:numCache>
            </c:numRef>
          </c:val>
          <c:smooth val="0"/>
        </c:ser>
        <c:ser>
          <c:idx val="9"/>
          <c:order val="7"/>
          <c:tx>
            <c:v>Pull - Iron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noFill/>
              </a:ln>
            </c:spPr>
          </c:marker>
          <c:val>
            <c:numRef>
              <c:f>Calculation!$AG$8:$AG$68</c:f>
              <c:numCache>
                <c:ptCount val="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3.9838570769007617</c:v>
                </c:pt>
                <c:pt idx="18">
                  <c:v>4.148093336781408</c:v>
                </c:pt>
                <c:pt idx="19">
                  <c:v>4.306453166135873</c:v>
                </c:pt>
                <c:pt idx="20">
                  <c:v>4.456705098318186</c:v>
                </c:pt>
                <c:pt idx="21">
                  <c:v>4.596363871769872</c:v>
                </c:pt>
                <c:pt idx="22">
                  <c:v>3.9177615201995657</c:v>
                </c:pt>
                <c:pt idx="23">
                  <c:v>4.025519755931476</c:v>
                </c:pt>
                <c:pt idx="24">
                  <c:v>4.1193681058633524</c:v>
                </c:pt>
                <c:pt idx="25">
                  <c:v>4.214690522990897</c:v>
                </c:pt>
                <c:pt idx="26">
                  <c:v>4.292852179675719</c:v>
                </c:pt>
                <c:pt idx="27">
                  <c:v>4.371568149769772</c:v>
                </c:pt>
                <c:pt idx="28">
                  <c:v>3.5879776486648747</c:v>
                </c:pt>
                <c:pt idx="29">
                  <c:v>3.6155954581155703</c:v>
                </c:pt>
                <c:pt idx="30">
                  <c:v>3.641346233551265</c:v>
                </c:pt>
                <c:pt idx="31">
                  <c:v>3.6660854062386274</c:v>
                </c:pt>
                <c:pt idx="32">
                  <c:v>3.690864941053345</c:v>
                </c:pt>
                <c:pt idx="33">
                  <c:v>3.692625319475623</c:v>
                </c:pt>
                <c:pt idx="34">
                  <c:v>3.6942266367859626</c:v>
                </c:pt>
                <c:pt idx="35">
                  <c:v>3.6971748461715754</c:v>
                </c:pt>
                <c:pt idx="36">
                  <c:v>3.6743746376373725</c:v>
                </c:pt>
                <c:pt idx="37">
                  <c:v>3.653399989608042</c:v>
                </c:pt>
                <c:pt idx="38">
                  <c:v>3.636329958898976</c:v>
                </c:pt>
                <c:pt idx="39">
                  <c:v>3.591615139337615</c:v>
                </c:pt>
                <c:pt idx="40">
                  <c:v>3.5879776486648747</c:v>
                </c:pt>
                <c:pt idx="41">
                  <c:v>3.5585830193784984</c:v>
                </c:pt>
                <c:pt idx="42">
                  <c:v>3.500728297591857</c:v>
                </c:pt>
                <c:pt idx="43">
                  <c:v>3.4536046776763554</c:v>
                </c:pt>
                <c:pt idx="44">
                  <c:v>3.4651783961064098</c:v>
                </c:pt>
                <c:pt idx="45">
                  <c:v>2.728837609129263</c:v>
                </c:pt>
                <c:pt idx="46">
                  <c:v>2.738698909623864</c:v>
                </c:pt>
                <c:pt idx="47">
                  <c:v>2.7304167885833794</c:v>
                </c:pt>
                <c:pt idx="48">
                  <c:v>2.7460054231084783</c:v>
                </c:pt>
                <c:pt idx="49">
                  <c:v>2.7441093255278197</c:v>
                </c:pt>
                <c:pt idx="50">
                  <c:v>2.7723452256671344</c:v>
                </c:pt>
                <c:pt idx="51">
                  <c:v>2.7845281725808824</c:v>
                </c:pt>
                <c:pt idx="52">
                  <c:v>2.83494530264879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</c:numCache>
            </c:numRef>
          </c:val>
          <c:smooth val="0"/>
        </c:ser>
        <c:ser>
          <c:idx val="10"/>
          <c:order val="8"/>
          <c:tx>
            <c:v>Pull - Steel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noFill/>
              </a:ln>
            </c:spPr>
          </c:marker>
          <c:val>
            <c:numRef>
              <c:f>Calculation!$AH$8:$AH$68</c:f>
              <c:numCache>
                <c:ptCount val="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2.2200995566317037</c:v>
                </c:pt>
                <c:pt idx="54">
                  <c:v>2.2865446695420206</c:v>
                </c:pt>
                <c:pt idx="55">
                  <c:v>2.3458869355460727</c:v>
                </c:pt>
                <c:pt idx="56">
                  <c:v>2.454702186615685</c:v>
                </c:pt>
                <c:pt idx="57">
                  <c:v>2.5620166101424275</c:v>
                </c:pt>
                <c:pt idx="58">
                  <c:v>2.6666914876922068</c:v>
                </c:pt>
                <c:pt idx="59">
                  <c:v>2.841727432488583</c:v>
                </c:pt>
                <c:pt idx="60">
                  <c:v>3.0240595605390905</c:v>
                </c:pt>
                <c:pt idx="61">
                  <c:v>3.2133909033877246</c:v>
                </c:pt>
                <c:pt idx="62">
                  <c:v>3.409308592521785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9599339"/>
        <c:crosses val="autoZero"/>
        <c:auto val="0"/>
        <c:lblOffset val="100"/>
        <c:noMultiLvlLbl val="0"/>
      </c:catAx>
      <c:valAx>
        <c:axId val="959933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Kgs.</a:t>
                </a:r>
              </a:p>
            </c:rich>
          </c:tx>
          <c:layout>
            <c:manualLayout>
              <c:xMode val="factor"/>
              <c:yMode val="factor"/>
              <c:x val="0.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97967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664"/>
          <c:w val="0.197"/>
          <c:h val="0.299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4'  -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1"/>
          <c:h val="0.91875"/>
        </c:manualLayout>
      </c:layout>
      <c:lineChart>
        <c:grouping val="standard"/>
        <c:varyColors val="0"/>
        <c:ser>
          <c:idx val="0"/>
          <c:order val="0"/>
          <c:tx>
            <c:v>Stress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Calculation!$Z$8:$Z$68</c:f>
              <c:numCache>
                <c:ptCount val="63"/>
                <c:pt idx="0">
                  <c:v>27.627526492528535</c:v>
                </c:pt>
                <c:pt idx="1">
                  <c:v>29.582630657802714</c:v>
                </c:pt>
                <c:pt idx="2">
                  <c:v>31.640049875062594</c:v>
                </c:pt>
                <c:pt idx="3">
                  <c:v>33.80015100358306</c:v>
                </c:pt>
                <c:pt idx="4">
                  <c:v>36.06242310093747</c:v>
                </c:pt>
                <c:pt idx="5">
                  <c:v>38.425326332988455</c:v>
                </c:pt>
                <c:pt idx="6">
                  <c:v>40.88612554231388</c:v>
                </c:pt>
                <c:pt idx="7">
                  <c:v>43.44070802432616</c:v>
                </c:pt>
                <c:pt idx="8">
                  <c:v>46.083385307490936</c:v>
                </c:pt>
                <c:pt idx="9">
                  <c:v>48.046713473137814</c:v>
                </c:pt>
                <c:pt idx="10">
                  <c:v>50.79761450297826</c:v>
                </c:pt>
                <c:pt idx="11">
                  <c:v>53.60694971415013</c:v>
                </c:pt>
                <c:pt idx="12">
                  <c:v>56.4606621702108</c:v>
                </c:pt>
                <c:pt idx="13">
                  <c:v>59.34195379520599</c:v>
                </c:pt>
                <c:pt idx="14">
                  <c:v>62.40328377996304</c:v>
                </c:pt>
                <c:pt idx="15">
                  <c:v>65.47839979151148</c:v>
                </c:pt>
                <c:pt idx="16">
                  <c:v>68.34097789381376</c:v>
                </c:pt>
                <c:pt idx="17">
                  <c:v>64.97688747424053</c:v>
                </c:pt>
                <c:pt idx="18">
                  <c:v>67.65558823369568</c:v>
                </c:pt>
                <c:pt idx="19">
                  <c:v>70.23844414789677</c:v>
                </c:pt>
                <c:pt idx="20">
                  <c:v>72.68905989583732</c:v>
                </c:pt>
                <c:pt idx="21">
                  <c:v>74.9669007501132</c:v>
                </c:pt>
                <c:pt idx="22">
                  <c:v>77.31762783839999</c:v>
                </c:pt>
                <c:pt idx="23">
                  <c:v>79.44425324014674</c:v>
                </c:pt>
                <c:pt idx="24">
                  <c:v>81.29636490030495</c:v>
                </c:pt>
                <c:pt idx="25">
                  <c:v>83.1775675039154</c:v>
                </c:pt>
                <c:pt idx="26">
                  <c:v>84.72009985348066</c:v>
                </c:pt>
                <c:pt idx="27">
                  <c:v>86.27357166366899</c:v>
                </c:pt>
                <c:pt idx="28">
                  <c:v>87.41887934693878</c:v>
                </c:pt>
                <c:pt idx="29">
                  <c:v>88.09177037040864</c:v>
                </c:pt>
                <c:pt idx="30">
                  <c:v>88.71917225284255</c:v>
                </c:pt>
                <c:pt idx="31">
                  <c:v>89.32192705347637</c:v>
                </c:pt>
                <c:pt idx="32">
                  <c:v>89.9256652526391</c:v>
                </c:pt>
                <c:pt idx="33">
                  <c:v>89.96855579543815</c:v>
                </c:pt>
                <c:pt idx="34">
                  <c:v>90.0075709116</c:v>
                </c:pt>
                <c:pt idx="35">
                  <c:v>90.07940222879516</c:v>
                </c:pt>
                <c:pt idx="36">
                  <c:v>89.52388910298785</c:v>
                </c:pt>
                <c:pt idx="37">
                  <c:v>89.01285464152659</c:v>
                </c:pt>
                <c:pt idx="38">
                  <c:v>88.59695379120784</c:v>
                </c:pt>
                <c:pt idx="39">
                  <c:v>87.5075045808123</c:v>
                </c:pt>
                <c:pt idx="40">
                  <c:v>87.41887934693878</c:v>
                </c:pt>
                <c:pt idx="41">
                  <c:v>86.70269719569548</c:v>
                </c:pt>
                <c:pt idx="42">
                  <c:v>85.29310231000852</c:v>
                </c:pt>
                <c:pt idx="43">
                  <c:v>84.14496415331817</c:v>
                </c:pt>
                <c:pt idx="44">
                  <c:v>84.42695071903962</c:v>
                </c:pt>
                <c:pt idx="45">
                  <c:v>84.14692357096709</c:v>
                </c:pt>
                <c:pt idx="46">
                  <c:v>84.45100839311021</c:v>
                </c:pt>
                <c:pt idx="47">
                  <c:v>84.19561943047367</c:v>
                </c:pt>
                <c:pt idx="48">
                  <c:v>84.67631334702291</c:v>
                </c:pt>
                <c:pt idx="49">
                  <c:v>84.61784494360124</c:v>
                </c:pt>
                <c:pt idx="50">
                  <c:v>85.4885321999743</c:v>
                </c:pt>
                <c:pt idx="51">
                  <c:v>85.86420772547669</c:v>
                </c:pt>
                <c:pt idx="52">
                  <c:v>87.41887934693878</c:v>
                </c:pt>
                <c:pt idx="53">
                  <c:v>89.41634113590327</c:v>
                </c:pt>
                <c:pt idx="54">
                  <c:v>92.09247287290361</c:v>
                </c:pt>
                <c:pt idx="55">
                  <c:v>94.48253159119203</c:v>
                </c:pt>
                <c:pt idx="56">
                  <c:v>98.86515559621249</c:v>
                </c:pt>
                <c:pt idx="57">
                  <c:v>103.18733253382172</c:v>
                </c:pt>
                <c:pt idx="58">
                  <c:v>107.40319957968981</c:v>
                </c:pt>
                <c:pt idx="59">
                  <c:v>114.45291665395627</c:v>
                </c:pt>
                <c:pt idx="60">
                  <c:v>121.79649352783967</c:v>
                </c:pt>
                <c:pt idx="61">
                  <c:v>129.42196955178744</c:v>
                </c:pt>
                <c:pt idx="62">
                  <c:v>137.3127161058507</c:v>
                </c:pt>
              </c:numCache>
            </c:numRef>
          </c:val>
          <c:smooth val="0"/>
        </c:ser>
        <c:ser>
          <c:idx val="1"/>
          <c:order val="1"/>
          <c:tx>
            <c:v>Breaking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Calculation!$AA$8:$AA$68</c:f>
              <c:numCache>
                <c:ptCount val="63"/>
                <c:pt idx="0">
                  <c:v>77.3376538</c:v>
                </c:pt>
                <c:pt idx="1">
                  <c:v>77.3376538</c:v>
                </c:pt>
                <c:pt idx="2">
                  <c:v>77.3376538</c:v>
                </c:pt>
                <c:pt idx="3">
                  <c:v>84.3683496</c:v>
                </c:pt>
                <c:pt idx="4">
                  <c:v>84.3683496</c:v>
                </c:pt>
                <c:pt idx="5">
                  <c:v>84.3683496</c:v>
                </c:pt>
                <c:pt idx="6">
                  <c:v>84.3683496</c:v>
                </c:pt>
                <c:pt idx="7">
                  <c:v>84.3683496</c:v>
                </c:pt>
                <c:pt idx="8">
                  <c:v>84.3683496</c:v>
                </c:pt>
                <c:pt idx="9">
                  <c:v>87.8836975</c:v>
                </c:pt>
                <c:pt idx="10">
                  <c:v>87.8836975</c:v>
                </c:pt>
                <c:pt idx="11">
                  <c:v>87.8836975</c:v>
                </c:pt>
                <c:pt idx="12">
                  <c:v>87.8836975</c:v>
                </c:pt>
                <c:pt idx="13">
                  <c:v>87.8836975</c:v>
                </c:pt>
                <c:pt idx="14">
                  <c:v>87.8836975</c:v>
                </c:pt>
                <c:pt idx="15">
                  <c:v>91.39904539999999</c:v>
                </c:pt>
                <c:pt idx="16">
                  <c:v>91.39904539999999</c:v>
                </c:pt>
                <c:pt idx="17">
                  <c:v>126.5525244</c:v>
                </c:pt>
                <c:pt idx="18">
                  <c:v>126.5525244</c:v>
                </c:pt>
                <c:pt idx="19">
                  <c:v>126.5525244</c:v>
                </c:pt>
                <c:pt idx="20">
                  <c:v>126.5525244</c:v>
                </c:pt>
                <c:pt idx="21">
                  <c:v>126.5525244</c:v>
                </c:pt>
                <c:pt idx="22">
                  <c:v>133.5832202</c:v>
                </c:pt>
                <c:pt idx="23">
                  <c:v>133.5832202</c:v>
                </c:pt>
                <c:pt idx="24">
                  <c:v>133.5832202</c:v>
                </c:pt>
                <c:pt idx="25">
                  <c:v>133.5832202</c:v>
                </c:pt>
                <c:pt idx="26">
                  <c:v>133.5832202</c:v>
                </c:pt>
                <c:pt idx="27">
                  <c:v>133.5832202</c:v>
                </c:pt>
                <c:pt idx="28">
                  <c:v>140.613916</c:v>
                </c:pt>
                <c:pt idx="29">
                  <c:v>140.613916</c:v>
                </c:pt>
                <c:pt idx="30">
                  <c:v>140.613916</c:v>
                </c:pt>
                <c:pt idx="31">
                  <c:v>140.613916</c:v>
                </c:pt>
                <c:pt idx="32">
                  <c:v>140.613916</c:v>
                </c:pt>
                <c:pt idx="33">
                  <c:v>140.613916</c:v>
                </c:pt>
                <c:pt idx="34">
                  <c:v>140.613916</c:v>
                </c:pt>
                <c:pt idx="35">
                  <c:v>140.613916</c:v>
                </c:pt>
                <c:pt idx="36">
                  <c:v>140.613916</c:v>
                </c:pt>
                <c:pt idx="37">
                  <c:v>140.613916</c:v>
                </c:pt>
                <c:pt idx="38">
                  <c:v>140.613916</c:v>
                </c:pt>
                <c:pt idx="39">
                  <c:v>140.613916</c:v>
                </c:pt>
                <c:pt idx="40">
                  <c:v>140.613916</c:v>
                </c:pt>
                <c:pt idx="41">
                  <c:v>140.613916</c:v>
                </c:pt>
                <c:pt idx="42">
                  <c:v>140.613916</c:v>
                </c:pt>
                <c:pt idx="43">
                  <c:v>140.613916</c:v>
                </c:pt>
                <c:pt idx="44">
                  <c:v>140.613916</c:v>
                </c:pt>
                <c:pt idx="45">
                  <c:v>147.6446118</c:v>
                </c:pt>
                <c:pt idx="46">
                  <c:v>147.6446118</c:v>
                </c:pt>
                <c:pt idx="47">
                  <c:v>147.6446118</c:v>
                </c:pt>
                <c:pt idx="48">
                  <c:v>147.6446118</c:v>
                </c:pt>
                <c:pt idx="49">
                  <c:v>147.6446118</c:v>
                </c:pt>
                <c:pt idx="50">
                  <c:v>147.6446118</c:v>
                </c:pt>
                <c:pt idx="51">
                  <c:v>147.6446118</c:v>
                </c:pt>
                <c:pt idx="52">
                  <c:v>147.6446118</c:v>
                </c:pt>
                <c:pt idx="53">
                  <c:v>281.227832</c:v>
                </c:pt>
                <c:pt idx="54">
                  <c:v>281.227832</c:v>
                </c:pt>
                <c:pt idx="55">
                  <c:v>281.227832</c:v>
                </c:pt>
                <c:pt idx="56">
                  <c:v>281.227832</c:v>
                </c:pt>
                <c:pt idx="57">
                  <c:v>281.227832</c:v>
                </c:pt>
                <c:pt idx="58">
                  <c:v>281.227832</c:v>
                </c:pt>
                <c:pt idx="59">
                  <c:v>281.227832</c:v>
                </c:pt>
                <c:pt idx="60">
                  <c:v>281.227832</c:v>
                </c:pt>
                <c:pt idx="61">
                  <c:v>281.227832</c:v>
                </c:pt>
                <c:pt idx="62">
                  <c:v>281.227832</c:v>
                </c:pt>
              </c:numCache>
            </c:numRef>
          </c:val>
          <c:smooth val="0"/>
        </c:ser>
        <c:axId val="19285188"/>
        <c:axId val="39348965"/>
      </c:lineChart>
      <c:catAx>
        <c:axId val="192851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39348965"/>
        <c:crosses val="autoZero"/>
        <c:auto val="0"/>
        <c:lblOffset val="100"/>
        <c:noMultiLvlLbl val="0"/>
      </c:catAx>
      <c:valAx>
        <c:axId val="3934896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Kgs/mm</a:t>
                </a:r>
                <a:r>
                  <a:rPr lang="en-US" cap="none" sz="1000" b="0" i="0" u="none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2851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666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4" right="0.18" top="0.18" bottom="0.12" header="0.13" footer="0.1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0.01725</cdr:y>
    </cdr:from>
    <cdr:to>
      <cdr:x>0.497</cdr:x>
      <cdr:y>0.01725</cdr:y>
    </cdr:to>
    <cdr:sp>
      <cdr:nvSpPr>
        <cdr:cNvPr id="1" name="TextBox 1"/>
        <cdr:cNvSpPr txBox="1">
          <a:spLocks noChangeArrowheads="1"/>
        </cdr:cNvSpPr>
      </cdr:nvSpPr>
      <cdr:spPr>
        <a:xfrm>
          <a:off x="8658225" y="123825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849850" cy="7324725"/>
    <xdr:graphicFrame>
      <xdr:nvGraphicFramePr>
        <xdr:cNvPr id="1" name="Shape 1025"/>
        <xdr:cNvGraphicFramePr/>
      </xdr:nvGraphicFramePr>
      <xdr:xfrm>
        <a:off x="0" y="0"/>
        <a:ext cx="17849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849850" cy="7324725"/>
    <xdr:graphicFrame>
      <xdr:nvGraphicFramePr>
        <xdr:cNvPr id="1" name="Shape 1025"/>
        <xdr:cNvGraphicFramePr/>
      </xdr:nvGraphicFramePr>
      <xdr:xfrm>
        <a:off x="0" y="0"/>
        <a:ext cx="17849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849850" cy="7324725"/>
    <xdr:graphicFrame>
      <xdr:nvGraphicFramePr>
        <xdr:cNvPr id="1" name="Shape 1025"/>
        <xdr:cNvGraphicFramePr/>
      </xdr:nvGraphicFramePr>
      <xdr:xfrm>
        <a:off x="0" y="0"/>
        <a:ext cx="17849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849850" cy="7324725"/>
    <xdr:graphicFrame>
      <xdr:nvGraphicFramePr>
        <xdr:cNvPr id="1" name="Shape 1025"/>
        <xdr:cNvGraphicFramePr/>
      </xdr:nvGraphicFramePr>
      <xdr:xfrm>
        <a:off x="0" y="0"/>
        <a:ext cx="17849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D162"/>
  <sheetViews>
    <sheetView tabSelected="1" zoomScale="75" zoomScaleNormal="75" workbookViewId="0" topLeftCell="A1">
      <selection activeCell="AO41" sqref="AO41"/>
    </sheetView>
  </sheetViews>
  <sheetFormatPr defaultColWidth="9.77734375" defaultRowHeight="15" customHeight="1"/>
  <cols>
    <col min="1" max="1" width="4.4453125" style="0" customWidth="1"/>
    <col min="2" max="4" width="5.21484375" style="0" customWidth="1"/>
    <col min="5" max="5" width="5.21484375" style="73" customWidth="1"/>
    <col min="6" max="6" width="5.99609375" style="0" customWidth="1"/>
    <col min="7" max="7" width="5.88671875" style="0" customWidth="1"/>
    <col min="8" max="8" width="6.21484375" style="4" customWidth="1"/>
    <col min="9" max="9" width="6.10546875" style="9" customWidth="1"/>
    <col min="10" max="10" width="7.10546875" style="0" customWidth="1"/>
    <col min="11" max="11" width="4.99609375" style="0" customWidth="1"/>
    <col min="12" max="12" width="6.21484375" style="0" customWidth="1"/>
    <col min="13" max="13" width="3.88671875" style="0" customWidth="1"/>
    <col min="14" max="14" width="6.10546875" style="119" customWidth="1"/>
    <col min="15" max="18" width="4.5546875" style="45" customWidth="1"/>
    <col min="19" max="19" width="6.10546875" style="32" customWidth="1"/>
    <col min="20" max="22" width="6.21484375" style="9" customWidth="1"/>
    <col min="23" max="23" width="6.4453125" style="9" customWidth="1"/>
    <col min="24" max="24" width="5.88671875" style="9" customWidth="1"/>
    <col min="25" max="25" width="5.4453125" style="9" customWidth="1"/>
    <col min="26" max="26" width="7.21484375" style="9" customWidth="1"/>
    <col min="27" max="27" width="4.99609375" style="0" customWidth="1"/>
    <col min="28" max="28" width="5.88671875" style="0" customWidth="1"/>
    <col min="29" max="29" width="3.4453125" style="0" customWidth="1"/>
    <col min="30" max="30" width="6.21484375" style="119" customWidth="1"/>
    <col min="31" max="31" width="5.10546875" style="45" customWidth="1"/>
    <col min="32" max="34" width="4.5546875" style="45" customWidth="1"/>
    <col min="35" max="35" width="6.4453125" style="32" customWidth="1"/>
    <col min="36" max="38" width="5.5546875" style="119" customWidth="1"/>
    <col min="39" max="39" width="6.77734375" style="118" customWidth="1"/>
    <col min="40" max="40" width="5.77734375" style="0" customWidth="1"/>
    <col min="41" max="41" width="9.10546875" style="0" customWidth="1"/>
    <col min="42" max="42" width="6.21484375" style="0" customWidth="1"/>
    <col min="43" max="43" width="1.1171875" style="0" hidden="1" customWidth="1"/>
    <col min="44" max="44" width="5.88671875" style="0" customWidth="1"/>
    <col min="45" max="45" width="4.99609375" style="0" customWidth="1"/>
    <col min="46" max="47" width="6.3359375" style="0" customWidth="1"/>
    <col min="48" max="48" width="4.21484375" style="0" customWidth="1"/>
    <col min="49" max="49" width="5.77734375" style="0" customWidth="1"/>
    <col min="50" max="50" width="3.4453125" style="0" customWidth="1"/>
    <col min="51" max="53" width="5.3359375" style="0" customWidth="1"/>
  </cols>
  <sheetData>
    <row r="1" spans="1:41" s="117" customFormat="1" ht="15" customHeight="1">
      <c r="A1" s="115" t="s">
        <v>108</v>
      </c>
      <c r="B1" s="115"/>
      <c r="C1" s="115"/>
      <c r="D1" s="115"/>
      <c r="E1" s="116"/>
      <c r="H1" s="118"/>
      <c r="I1" s="119"/>
      <c r="M1" s="120" t="s">
        <v>144</v>
      </c>
      <c r="N1" s="119"/>
      <c r="O1" s="119"/>
      <c r="P1" s="119"/>
      <c r="Q1" s="119"/>
      <c r="R1" s="119"/>
      <c r="S1" s="121"/>
      <c r="T1" s="119"/>
      <c r="U1" s="119"/>
      <c r="V1" s="119"/>
      <c r="W1" s="122"/>
      <c r="X1" s="119"/>
      <c r="Y1" s="119"/>
      <c r="Z1" s="119"/>
      <c r="AD1" s="119"/>
      <c r="AE1" s="119"/>
      <c r="AF1" s="119"/>
      <c r="AG1" s="119"/>
      <c r="AH1" s="119"/>
      <c r="AI1" s="121"/>
      <c r="AJ1" s="119"/>
      <c r="AK1" s="119"/>
      <c r="AL1" s="119"/>
      <c r="AM1" s="118"/>
      <c r="AN1" s="123"/>
      <c r="AO1" s="123"/>
    </row>
    <row r="2" spans="1:41" s="117" customFormat="1" ht="15" customHeight="1" thickBot="1">
      <c r="A2" s="124"/>
      <c r="B2" s="119" t="s">
        <v>145</v>
      </c>
      <c r="C2" s="124"/>
      <c r="D2" s="124"/>
      <c r="E2" s="125"/>
      <c r="G2" s="126"/>
      <c r="H2" s="127"/>
      <c r="I2" s="119"/>
      <c r="N2" s="119"/>
      <c r="O2" s="119"/>
      <c r="P2" s="128"/>
      <c r="Q2" s="128"/>
      <c r="R2" s="128"/>
      <c r="S2" s="121"/>
      <c r="T2" s="129"/>
      <c r="U2" s="130"/>
      <c r="V2" s="129"/>
      <c r="W2" s="131"/>
      <c r="X2" s="131"/>
      <c r="Y2" s="132"/>
      <c r="Z2" s="131"/>
      <c r="AD2" s="131"/>
      <c r="AE2" s="131"/>
      <c r="AF2" s="131"/>
      <c r="AG2" s="131"/>
      <c r="AH2" s="131"/>
      <c r="AI2" s="131"/>
      <c r="AJ2" s="131"/>
      <c r="AK2" s="131"/>
      <c r="AL2" s="131"/>
      <c r="AM2" s="133"/>
      <c r="AN2" s="123"/>
      <c r="AO2" s="123"/>
    </row>
    <row r="3" spans="1:39" s="117" customFormat="1" ht="15" customHeight="1" thickBot="1">
      <c r="A3" s="128"/>
      <c r="B3" s="74"/>
      <c r="C3" s="75"/>
      <c r="D3" s="75"/>
      <c r="E3" s="76">
        <v>1</v>
      </c>
      <c r="G3" s="115" t="s">
        <v>116</v>
      </c>
      <c r="H3" s="134">
        <v>415</v>
      </c>
      <c r="I3" s="135">
        <f>440/(2^(2/12))</f>
        <v>391.99543598174927</v>
      </c>
      <c r="J3" s="135">
        <f>440/(2^(1/12))</f>
        <v>415.3046975799451</v>
      </c>
      <c r="L3" s="119" t="s">
        <v>119</v>
      </c>
      <c r="M3" s="128"/>
      <c r="N3" s="136"/>
      <c r="O3" s="136"/>
      <c r="P3" s="90">
        <v>2</v>
      </c>
      <c r="Q3" s="119"/>
      <c r="R3" s="119"/>
      <c r="S3" s="179"/>
      <c r="T3" s="121"/>
      <c r="U3" s="119"/>
      <c r="V3" s="119"/>
      <c r="W3" s="119"/>
      <c r="X3" s="137"/>
      <c r="Y3" s="119"/>
      <c r="Z3" s="119"/>
      <c r="AI3" s="121"/>
      <c r="AJ3" s="119"/>
      <c r="AK3" s="119"/>
      <c r="AL3" s="119"/>
      <c r="AM3" s="133"/>
    </row>
    <row r="4" spans="2:39" s="117" customFormat="1" ht="15" customHeight="1">
      <c r="B4" s="138" t="s">
        <v>120</v>
      </c>
      <c r="E4" s="139"/>
      <c r="F4" s="140"/>
      <c r="G4" s="138" t="s">
        <v>110</v>
      </c>
      <c r="H4" s="141"/>
      <c r="I4" s="119"/>
      <c r="N4" s="119"/>
      <c r="O4" s="119"/>
      <c r="P4" s="119"/>
      <c r="Q4" s="119"/>
      <c r="R4" s="119"/>
      <c r="S4" s="179" t="s">
        <v>149</v>
      </c>
      <c r="T4" s="184" t="s">
        <v>102</v>
      </c>
      <c r="U4" s="185"/>
      <c r="V4" s="142" t="s">
        <v>103</v>
      </c>
      <c r="W4" s="138" t="s">
        <v>81</v>
      </c>
      <c r="X4" s="141"/>
      <c r="Y4" s="119"/>
      <c r="AD4" s="119"/>
      <c r="AE4" s="119"/>
      <c r="AF4" s="119"/>
      <c r="AG4" s="119"/>
      <c r="AH4" s="119"/>
      <c r="AI4" s="179" t="s">
        <v>149</v>
      </c>
      <c r="AJ4" s="184" t="s">
        <v>102</v>
      </c>
      <c r="AK4" s="185"/>
      <c r="AL4" s="142" t="s">
        <v>103</v>
      </c>
      <c r="AM4" s="143"/>
    </row>
    <row r="5" spans="1:50" s="158" customFormat="1" ht="15" customHeight="1">
      <c r="A5" s="115" t="s">
        <v>70</v>
      </c>
      <c r="B5" s="144" t="s">
        <v>121</v>
      </c>
      <c r="C5" s="144" t="s">
        <v>122</v>
      </c>
      <c r="D5" s="144" t="s">
        <v>123</v>
      </c>
      <c r="E5" s="145" t="s">
        <v>124</v>
      </c>
      <c r="F5" s="146" t="s">
        <v>125</v>
      </c>
      <c r="G5" s="147" t="s">
        <v>71</v>
      </c>
      <c r="H5" s="148" t="s">
        <v>142</v>
      </c>
      <c r="I5" s="149" t="s">
        <v>74</v>
      </c>
      <c r="J5" s="150" t="s">
        <v>129</v>
      </c>
      <c r="K5" s="148" t="s">
        <v>82</v>
      </c>
      <c r="L5" s="148" t="s">
        <v>109</v>
      </c>
      <c r="M5" s="151" t="s">
        <v>109</v>
      </c>
      <c r="N5" s="149" t="s">
        <v>72</v>
      </c>
      <c r="O5" s="152" t="s">
        <v>72</v>
      </c>
      <c r="P5" s="152" t="s">
        <v>72</v>
      </c>
      <c r="Q5" s="152" t="s">
        <v>72</v>
      </c>
      <c r="R5" s="152" t="s">
        <v>72</v>
      </c>
      <c r="S5" s="178" t="s">
        <v>147</v>
      </c>
      <c r="T5" s="153" t="s">
        <v>104</v>
      </c>
      <c r="U5" s="154" t="s">
        <v>105</v>
      </c>
      <c r="V5" s="155" t="s">
        <v>106</v>
      </c>
      <c r="W5" s="147" t="s">
        <v>71</v>
      </c>
      <c r="X5" s="148" t="s">
        <v>142</v>
      </c>
      <c r="Y5" s="149" t="s">
        <v>74</v>
      </c>
      <c r="Z5" s="150" t="s">
        <v>129</v>
      </c>
      <c r="AA5" s="148" t="s">
        <v>82</v>
      </c>
      <c r="AB5" s="148" t="s">
        <v>109</v>
      </c>
      <c r="AC5" s="151" t="s">
        <v>109</v>
      </c>
      <c r="AD5" s="149" t="s">
        <v>72</v>
      </c>
      <c r="AE5" s="152" t="s">
        <v>72</v>
      </c>
      <c r="AF5" s="152" t="s">
        <v>72</v>
      </c>
      <c r="AG5" s="152" t="s">
        <v>72</v>
      </c>
      <c r="AH5" s="152" t="s">
        <v>72</v>
      </c>
      <c r="AI5" s="178" t="s">
        <v>147</v>
      </c>
      <c r="AJ5" s="153" t="s">
        <v>104</v>
      </c>
      <c r="AK5" s="154" t="s">
        <v>105</v>
      </c>
      <c r="AL5" s="156" t="s">
        <v>106</v>
      </c>
      <c r="AM5" s="157" t="s">
        <v>79</v>
      </c>
      <c r="AT5" s="159"/>
      <c r="AU5" s="159"/>
      <c r="AV5" s="159"/>
      <c r="AW5" s="159"/>
      <c r="AX5" s="159"/>
    </row>
    <row r="6" spans="2:56" ht="15" customHeight="1">
      <c r="B6" s="77">
        <f>5^(1/4)</f>
        <v>1.4953487812212205</v>
      </c>
      <c r="C6" s="78">
        <v>1.5019072414788261</v>
      </c>
      <c r="D6" s="79">
        <f>2^(13/6)/3</f>
        <v>1.496616064412497</v>
      </c>
      <c r="E6" s="79">
        <f>2^(1/12)</f>
        <v>1.0594630943592953</v>
      </c>
      <c r="F6" s="181" t="s">
        <v>0</v>
      </c>
      <c r="G6" s="182" t="s">
        <v>1</v>
      </c>
      <c r="H6" s="183"/>
      <c r="I6" s="179" t="s">
        <v>76</v>
      </c>
      <c r="J6" s="27" t="s">
        <v>150</v>
      </c>
      <c r="K6" s="27" t="s">
        <v>150</v>
      </c>
      <c r="L6" s="118"/>
      <c r="M6" s="95" t="s">
        <v>79</v>
      </c>
      <c r="N6" s="173" t="s">
        <v>73</v>
      </c>
      <c r="O6" s="104" t="s">
        <v>99</v>
      </c>
      <c r="P6" s="105" t="s">
        <v>100</v>
      </c>
      <c r="Q6" s="106" t="s">
        <v>130</v>
      </c>
      <c r="R6" s="107" t="s">
        <v>138</v>
      </c>
      <c r="S6" s="180" t="s">
        <v>148</v>
      </c>
      <c r="T6" s="119"/>
      <c r="U6" s="53"/>
      <c r="V6" s="52"/>
      <c r="W6" s="182" t="s">
        <v>1</v>
      </c>
      <c r="X6" s="27"/>
      <c r="Y6" s="179" t="s">
        <v>76</v>
      </c>
      <c r="Z6" s="27" t="s">
        <v>150</v>
      </c>
      <c r="AA6" s="27" t="s">
        <v>150</v>
      </c>
      <c r="AB6" s="27"/>
      <c r="AC6" s="95" t="s">
        <v>79</v>
      </c>
      <c r="AD6" s="173" t="s">
        <v>73</v>
      </c>
      <c r="AE6" s="104" t="s">
        <v>99</v>
      </c>
      <c r="AF6" s="105" t="s">
        <v>100</v>
      </c>
      <c r="AG6" s="107" t="s">
        <v>130</v>
      </c>
      <c r="AH6" s="103" t="s">
        <v>138</v>
      </c>
      <c r="AI6" s="180" t="s">
        <v>148</v>
      </c>
      <c r="AK6" s="188"/>
      <c r="AL6" s="189"/>
      <c r="AM6" s="157" t="s">
        <v>80</v>
      </c>
      <c r="AT6" s="16"/>
      <c r="AU6" s="16"/>
      <c r="AV6" s="16"/>
      <c r="AW6" s="16"/>
      <c r="AX6" s="16"/>
      <c r="AY6" s="27"/>
      <c r="AZ6" s="27"/>
      <c r="BA6" s="27"/>
      <c r="BB6" s="27"/>
      <c r="BC6" s="27"/>
      <c r="BD6" s="27"/>
    </row>
    <row r="7" spans="1:50" ht="15" customHeight="1" thickBot="1">
      <c r="A7" s="3"/>
      <c r="B7" s="80"/>
      <c r="C7" s="80"/>
      <c r="D7" s="80"/>
      <c r="E7" s="81"/>
      <c r="F7" s="91"/>
      <c r="G7" s="54"/>
      <c r="H7" s="21"/>
      <c r="I7" s="38"/>
      <c r="K7" s="20"/>
      <c r="L7" s="30"/>
      <c r="M7" s="96"/>
      <c r="N7" s="174"/>
      <c r="O7" s="93"/>
      <c r="P7" s="93"/>
      <c r="Q7" s="93"/>
      <c r="R7" s="93"/>
      <c r="S7" s="65"/>
      <c r="T7" s="10"/>
      <c r="U7" s="10"/>
      <c r="V7" s="10"/>
      <c r="W7" s="14"/>
      <c r="X7" s="7"/>
      <c r="Y7" s="13"/>
      <c r="Z7" s="23"/>
      <c r="AA7" s="12"/>
      <c r="AB7" s="12"/>
      <c r="AC7" s="98"/>
      <c r="AD7" s="174"/>
      <c r="AE7" s="93"/>
      <c r="AF7" s="93"/>
      <c r="AG7" s="93"/>
      <c r="AH7" s="93"/>
      <c r="AI7" s="65"/>
      <c r="AJ7" s="174"/>
      <c r="AK7" s="174"/>
      <c r="AL7" s="174"/>
      <c r="AM7" s="157"/>
      <c r="AN7" s="16"/>
      <c r="AO7" s="16"/>
      <c r="AP7" s="16"/>
      <c r="AQ7" s="16"/>
      <c r="AR7" s="16"/>
      <c r="AS7" s="16"/>
      <c r="AT7" s="15"/>
      <c r="AU7" s="15"/>
      <c r="AV7" s="15"/>
      <c r="AW7" s="15"/>
      <c r="AX7" s="15"/>
    </row>
    <row r="8" spans="1:50" ht="15" customHeight="1">
      <c r="A8" s="3" t="s">
        <v>2</v>
      </c>
      <c r="B8" s="82">
        <f aca="true" t="shared" si="0" ref="B8:C31">B20/2</f>
        <v>41.50000000000001</v>
      </c>
      <c r="C8" s="82">
        <f t="shared" si="0"/>
        <v>41.371316280453776</v>
      </c>
      <c r="D8" s="82">
        <f aca="true" t="shared" si="1" ref="D8:D29">D20/2</f>
        <v>41.359615324429875</v>
      </c>
      <c r="E8" s="83">
        <f aca="true" t="shared" si="2" ref="E8:E46">$H$3*$E$6^(ROW()-48)</f>
        <v>41.17321478542516</v>
      </c>
      <c r="F8" s="92">
        <f>B8*$B$3+C8*$C$3+D8*$D$3+E8*$E$3</f>
        <v>41.17321478542516</v>
      </c>
      <c r="G8" s="108">
        <v>1824</v>
      </c>
      <c r="H8" s="110" t="s">
        <v>85</v>
      </c>
      <c r="I8" s="111">
        <f aca="true" t="shared" si="3" ref="I8:I39">VLOOKUP($H8,$AN$24:$AT$47,3)</f>
        <v>0.024</v>
      </c>
      <c r="J8" s="112">
        <f>VLOOKUP($H8,$AN$24:$AT$47,5)*($F8*IF($G8="",NA(),$G8)/1000)^2/2450</f>
        <v>20.16588310753921</v>
      </c>
      <c r="K8" s="113">
        <f aca="true" t="shared" si="4" ref="K8:K39">VLOOKUP($H8,$AN$24:$AT$47,7)</f>
        <v>56.2455664</v>
      </c>
      <c r="L8" s="114">
        <f>J8/K8</f>
        <v>0.3585328479782045</v>
      </c>
      <c r="M8" s="97">
        <f aca="true" t="shared" si="5" ref="M8:M24">L8*10</f>
        <v>3.585328479782045</v>
      </c>
      <c r="N8" s="175">
        <f aca="true" t="shared" si="6" ref="N8:N39">506.71*$J8*$I8^2</f>
        <v>5.8857146665466065</v>
      </c>
      <c r="O8" s="94">
        <f aca="true" t="shared" si="7" ref="O8:R27">IF(LEFT($H8,2)=O$6,$N8,NA())</f>
        <v>5.8857146665466065</v>
      </c>
      <c r="P8" s="94" t="e">
        <f t="shared" si="7"/>
        <v>#N/A</v>
      </c>
      <c r="Q8" s="94" t="e">
        <f t="shared" si="7"/>
        <v>#N/A</v>
      </c>
      <c r="R8" s="94" t="e">
        <f t="shared" si="7"/>
        <v>#N/A</v>
      </c>
      <c r="S8" s="66"/>
      <c r="T8" s="175">
        <v>5.34</v>
      </c>
      <c r="U8" s="175">
        <v>6.25</v>
      </c>
      <c r="V8" s="175">
        <v>5.7</v>
      </c>
      <c r="W8" s="186">
        <v>1073</v>
      </c>
      <c r="X8" s="110" t="s">
        <v>88</v>
      </c>
      <c r="Y8" s="111">
        <f aca="true" t="shared" si="8" ref="Y8:Y39">VLOOKUP($X8,$AN$24:$AT$47,3)</f>
        <v>0.018</v>
      </c>
      <c r="Z8" s="112">
        <f>VLOOKUP($X8,$AN$24:$AT$47,5)*($F8*2*IF($W8="",NA(),$W8)/1000)^2/2450</f>
        <v>27.627526492528535</v>
      </c>
      <c r="AA8" s="113">
        <f aca="true" t="shared" si="9" ref="AA8:AA39">VLOOKUP($X8,$AN$24:$AT$47,7)</f>
        <v>77.3376538</v>
      </c>
      <c r="AB8" s="114">
        <f>Z8/AA8</f>
        <v>0.3572325398437227</v>
      </c>
      <c r="AC8" s="97">
        <f aca="true" t="shared" si="10" ref="AC8:AC39">AB8*10</f>
        <v>3.5723253984372274</v>
      </c>
      <c r="AD8" s="175">
        <f aca="true" t="shared" si="11" ref="AD8:AD39">506.71*$Z8*$Y8^2</f>
        <v>4.535722639485439</v>
      </c>
      <c r="AE8" s="94">
        <f aca="true" t="shared" si="12" ref="AE8:AH27">IF(LEFT($X8,2)=AE$6,$AD8,NA())</f>
        <v>4.535722639485439</v>
      </c>
      <c r="AF8" s="94" t="e">
        <f t="shared" si="12"/>
        <v>#N/A</v>
      </c>
      <c r="AG8" s="94" t="e">
        <f t="shared" si="12"/>
        <v>#N/A</v>
      </c>
      <c r="AH8" s="94" t="e">
        <f t="shared" si="12"/>
        <v>#N/A</v>
      </c>
      <c r="AI8" s="66"/>
      <c r="AJ8" s="175">
        <v>4</v>
      </c>
      <c r="AK8" s="175">
        <v>6.2</v>
      </c>
      <c r="AL8" s="175">
        <v>4.9</v>
      </c>
      <c r="AM8" s="157" t="s">
        <v>2</v>
      </c>
      <c r="AN8" s="16"/>
      <c r="AO8" s="16"/>
      <c r="AP8" s="16"/>
      <c r="AQ8" s="16"/>
      <c r="AR8" s="16"/>
      <c r="AS8" s="16"/>
      <c r="AT8" s="17"/>
      <c r="AU8" s="17"/>
      <c r="AV8" s="17"/>
      <c r="AW8" s="17"/>
      <c r="AX8" s="17"/>
    </row>
    <row r="9" spans="1:50" ht="15" customHeight="1">
      <c r="A9" s="3" t="s">
        <v>3</v>
      </c>
      <c r="B9" s="82">
        <f t="shared" si="0"/>
        <v>43.36362915081486</v>
      </c>
      <c r="C9" s="82">
        <f t="shared" si="0"/>
        <v>43.36362915081486</v>
      </c>
      <c r="D9" s="82">
        <f t="shared" si="1"/>
        <v>43.57226964219768</v>
      </c>
      <c r="E9" s="83">
        <f t="shared" si="2"/>
        <v>43.62150154128641</v>
      </c>
      <c r="F9" s="92">
        <f aca="true" t="shared" si="13" ref="F9:F68">B9*$B$3+C9*$C$3+D9*$D$3+E9*$E$3</f>
        <v>43.62150154128641</v>
      </c>
      <c r="G9" s="109">
        <v>1812</v>
      </c>
      <c r="H9" s="110" t="s">
        <v>85</v>
      </c>
      <c r="I9" s="111">
        <f t="shared" si="3"/>
        <v>0.024</v>
      </c>
      <c r="J9" s="112">
        <f aca="true" t="shared" si="14" ref="J9:J68">VLOOKUP($H9,$AN$24:$AT$47,5)*($F9*IF($G9="",NA(),$G9)/1000)^2/2450</f>
        <v>22.338583461754325</v>
      </c>
      <c r="K9" s="113">
        <f t="shared" si="4"/>
        <v>56.2455664</v>
      </c>
      <c r="L9" s="114">
        <f aca="true" t="shared" si="15" ref="L9:L68">J9/K9</f>
        <v>0.39716167676025615</v>
      </c>
      <c r="M9" s="97">
        <f t="shared" si="5"/>
        <v>3.9716167676025615</v>
      </c>
      <c r="N9" s="175">
        <f t="shared" si="6"/>
        <v>6.519849768521588</v>
      </c>
      <c r="O9" s="94">
        <f t="shared" si="7"/>
        <v>6.519849768521588</v>
      </c>
      <c r="P9" s="94" t="e">
        <f t="shared" si="7"/>
        <v>#N/A</v>
      </c>
      <c r="Q9" s="94" t="e">
        <f t="shared" si="7"/>
        <v>#N/A</v>
      </c>
      <c r="R9" s="94" t="e">
        <f t="shared" si="7"/>
        <v>#N/A</v>
      </c>
      <c r="S9" s="66"/>
      <c r="T9" s="175">
        <v>5.422</v>
      </c>
      <c r="U9" s="175">
        <v>6.38</v>
      </c>
      <c r="V9" s="175">
        <v>5.9</v>
      </c>
      <c r="W9" s="186">
        <v>1048</v>
      </c>
      <c r="X9" s="110" t="s">
        <v>88</v>
      </c>
      <c r="Y9" s="111">
        <f t="shared" si="8"/>
        <v>0.018</v>
      </c>
      <c r="Z9" s="112">
        <f>VLOOKUP($X9,$AN$24:$AT$47,5)*($F9*2*IF($W9="",NA(),$W9)/1000)^2/2450</f>
        <v>29.582630657802714</v>
      </c>
      <c r="AA9" s="113">
        <f t="shared" si="9"/>
        <v>77.3376538</v>
      </c>
      <c r="AB9" s="114">
        <f aca="true" t="shared" si="16" ref="AB9:AB68">Z9/AA9</f>
        <v>0.3825126468706336</v>
      </c>
      <c r="AC9" s="97">
        <f t="shared" si="10"/>
        <v>3.825126468706336</v>
      </c>
      <c r="AD9" s="175">
        <f t="shared" si="11"/>
        <v>4.856699988919328</v>
      </c>
      <c r="AE9" s="94">
        <f t="shared" si="12"/>
        <v>4.856699988919328</v>
      </c>
      <c r="AF9" s="94" t="e">
        <f t="shared" si="12"/>
        <v>#N/A</v>
      </c>
      <c r="AG9" s="94" t="e">
        <f t="shared" si="12"/>
        <v>#N/A</v>
      </c>
      <c r="AH9" s="94" t="e">
        <f t="shared" si="12"/>
        <v>#N/A</v>
      </c>
      <c r="AI9" s="66"/>
      <c r="AJ9" s="175">
        <v>3.95</v>
      </c>
      <c r="AK9" s="175">
        <v>6.15</v>
      </c>
      <c r="AL9" s="175">
        <v>4.801840676252612</v>
      </c>
      <c r="AM9" s="157"/>
      <c r="AN9" s="16"/>
      <c r="AO9" s="16"/>
      <c r="AP9" s="16"/>
      <c r="AQ9" s="16"/>
      <c r="AR9" s="16"/>
      <c r="AS9" s="16"/>
      <c r="AT9" s="17"/>
      <c r="AU9" s="17"/>
      <c r="AV9" s="17"/>
      <c r="AW9" s="17"/>
      <c r="AX9" s="17"/>
    </row>
    <row r="10" spans="1:50" ht="15" customHeight="1">
      <c r="A10" s="3" t="s">
        <v>4</v>
      </c>
      <c r="B10" s="82">
        <f t="shared" si="0"/>
        <v>46.39841053312064</v>
      </c>
      <c r="C10" s="82">
        <f t="shared" si="0"/>
        <v>46.39841053312064</v>
      </c>
      <c r="D10" s="82">
        <f t="shared" si="1"/>
        <v>46.31986663360334</v>
      </c>
      <c r="E10" s="83">
        <f t="shared" si="2"/>
        <v>46.21537100353008</v>
      </c>
      <c r="F10" s="92">
        <f t="shared" si="13"/>
        <v>46.21537100353008</v>
      </c>
      <c r="G10" s="109">
        <v>1796</v>
      </c>
      <c r="H10" s="110" t="s">
        <v>86</v>
      </c>
      <c r="I10" s="111">
        <f t="shared" si="3"/>
        <v>0.022</v>
      </c>
      <c r="J10" s="112">
        <f t="shared" si="14"/>
        <v>24.633355473748107</v>
      </c>
      <c r="K10" s="113">
        <f t="shared" si="4"/>
        <v>56.2455664</v>
      </c>
      <c r="L10" s="114">
        <f t="shared" si="15"/>
        <v>0.43796083941201286</v>
      </c>
      <c r="M10" s="97">
        <f t="shared" si="5"/>
        <v>4.379608394120129</v>
      </c>
      <c r="N10" s="175">
        <f t="shared" si="6"/>
        <v>6.041272295217804</v>
      </c>
      <c r="O10" s="94">
        <f t="shared" si="7"/>
        <v>6.041272295217804</v>
      </c>
      <c r="P10" s="94" t="e">
        <f t="shared" si="7"/>
        <v>#N/A</v>
      </c>
      <c r="Q10" s="94" t="e">
        <f t="shared" si="7"/>
        <v>#N/A</v>
      </c>
      <c r="R10" s="94" t="e">
        <f t="shared" si="7"/>
        <v>#N/A</v>
      </c>
      <c r="S10" s="66"/>
      <c r="T10" s="175">
        <v>5.504</v>
      </c>
      <c r="U10" s="175">
        <v>6.51</v>
      </c>
      <c r="V10" s="175">
        <v>6.052374539794842</v>
      </c>
      <c r="W10" s="186">
        <v>1023</v>
      </c>
      <c r="X10" s="110" t="s">
        <v>88</v>
      </c>
      <c r="Y10" s="111">
        <f t="shared" si="8"/>
        <v>0.018</v>
      </c>
      <c r="Z10" s="112">
        <f aca="true" t="shared" si="17" ref="Z10:Z68">VLOOKUP($X10,$AN$24:$AT$47,5)*($F10*2*IF($W10="",NA(),$W10)/1000)^2/2450</f>
        <v>31.640049875062594</v>
      </c>
      <c r="AA10" s="113">
        <f t="shared" si="9"/>
        <v>77.3376538</v>
      </c>
      <c r="AB10" s="114">
        <f t="shared" si="16"/>
        <v>0.4091157194513004</v>
      </c>
      <c r="AC10" s="97">
        <f t="shared" si="10"/>
        <v>4.091157194513004</v>
      </c>
      <c r="AD10" s="175">
        <f t="shared" si="11"/>
        <v>5.194474813790521</v>
      </c>
      <c r="AE10" s="94">
        <f t="shared" si="12"/>
        <v>5.194474813790521</v>
      </c>
      <c r="AF10" s="94" t="e">
        <f t="shared" si="12"/>
        <v>#N/A</v>
      </c>
      <c r="AG10" s="94" t="e">
        <f t="shared" si="12"/>
        <v>#N/A</v>
      </c>
      <c r="AH10" s="94" t="e">
        <f t="shared" si="12"/>
        <v>#N/A</v>
      </c>
      <c r="AI10" s="66"/>
      <c r="AJ10" s="175">
        <v>3.91</v>
      </c>
      <c r="AK10" s="175">
        <v>6.025</v>
      </c>
      <c r="AL10" s="175">
        <v>4.703681352505223</v>
      </c>
      <c r="AM10" s="157" t="s">
        <v>4</v>
      </c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</row>
    <row r="11" spans="1:50" ht="15" customHeight="1">
      <c r="A11" s="3" t="s">
        <v>5</v>
      </c>
      <c r="B11" s="82">
        <f t="shared" si="0"/>
        <v>48.482011266156746</v>
      </c>
      <c r="C11" s="82">
        <f t="shared" si="0"/>
        <v>48.784082794666716</v>
      </c>
      <c r="D11" s="82">
        <f t="shared" si="1"/>
        <v>49.01880334747239</v>
      </c>
      <c r="E11" s="83">
        <f t="shared" si="2"/>
        <v>48.96347997036284</v>
      </c>
      <c r="F11" s="92">
        <f t="shared" si="13"/>
        <v>48.96347997036284</v>
      </c>
      <c r="G11" s="109">
        <v>1775</v>
      </c>
      <c r="H11" s="110" t="s">
        <v>86</v>
      </c>
      <c r="I11" s="111">
        <f t="shared" si="3"/>
        <v>0.022</v>
      </c>
      <c r="J11" s="112">
        <f t="shared" si="14"/>
        <v>27.00718317859572</v>
      </c>
      <c r="K11" s="113">
        <f t="shared" si="4"/>
        <v>56.2455664</v>
      </c>
      <c r="L11" s="114">
        <f t="shared" si="15"/>
        <v>0.480165547387851</v>
      </c>
      <c r="M11" s="97">
        <f t="shared" si="5"/>
        <v>4.80165547387851</v>
      </c>
      <c r="N11" s="175">
        <f t="shared" si="6"/>
        <v>6.623447937598298</v>
      </c>
      <c r="O11" s="94">
        <f t="shared" si="7"/>
        <v>6.623447937598298</v>
      </c>
      <c r="P11" s="94" t="e">
        <f t="shared" si="7"/>
        <v>#N/A</v>
      </c>
      <c r="Q11" s="94" t="e">
        <f t="shared" si="7"/>
        <v>#N/A</v>
      </c>
      <c r="R11" s="94" t="e">
        <f t="shared" si="7"/>
        <v>#N/A</v>
      </c>
      <c r="S11" s="66"/>
      <c r="T11" s="175">
        <v>5.586</v>
      </c>
      <c r="U11" s="175">
        <v>6.64</v>
      </c>
      <c r="V11" s="175">
        <v>6.163950340857742</v>
      </c>
      <c r="W11" s="186">
        <v>998</v>
      </c>
      <c r="X11" s="110" t="s">
        <v>89</v>
      </c>
      <c r="Y11" s="111">
        <f t="shared" si="8"/>
        <v>0.016</v>
      </c>
      <c r="Z11" s="112">
        <f t="shared" si="17"/>
        <v>33.80015100358306</v>
      </c>
      <c r="AA11" s="113">
        <f t="shared" si="9"/>
        <v>84.3683496</v>
      </c>
      <c r="AB11" s="114">
        <f t="shared" si="16"/>
        <v>0.400625959424754</v>
      </c>
      <c r="AC11" s="97">
        <f t="shared" si="10"/>
        <v>4.00625959424754</v>
      </c>
      <c r="AD11" s="175">
        <f t="shared" si="11"/>
        <v>4.384479875846546</v>
      </c>
      <c r="AE11" s="94">
        <f t="shared" si="12"/>
        <v>4.384479875846546</v>
      </c>
      <c r="AF11" s="94" t="e">
        <f t="shared" si="12"/>
        <v>#N/A</v>
      </c>
      <c r="AG11" s="94" t="e">
        <f t="shared" si="12"/>
        <v>#N/A</v>
      </c>
      <c r="AH11" s="94" t="e">
        <f t="shared" si="12"/>
        <v>#N/A</v>
      </c>
      <c r="AI11" s="66"/>
      <c r="AJ11" s="175">
        <v>3.87</v>
      </c>
      <c r="AK11" s="175">
        <v>5.9</v>
      </c>
      <c r="AL11" s="175">
        <v>4.605522028757834</v>
      </c>
      <c r="AM11" s="157"/>
      <c r="AN11" s="16"/>
      <c r="AO11" s="16"/>
      <c r="AP11" s="16"/>
      <c r="AQ11" s="16"/>
      <c r="AR11" s="16"/>
      <c r="AS11" s="16"/>
      <c r="AT11" s="17"/>
      <c r="AU11" s="17"/>
      <c r="AV11" s="17"/>
      <c r="AW11" s="17"/>
      <c r="AX11" s="17"/>
    </row>
    <row r="12" spans="1:45" ht="15" customHeight="1">
      <c r="A12" s="3" t="s">
        <v>6</v>
      </c>
      <c r="B12" s="82">
        <f t="shared" si="0"/>
        <v>51.875</v>
      </c>
      <c r="C12" s="82">
        <f t="shared" si="0"/>
        <v>51.875</v>
      </c>
      <c r="D12" s="82">
        <f t="shared" si="1"/>
        <v>51.875</v>
      </c>
      <c r="E12" s="83">
        <f t="shared" si="2"/>
        <v>51.87499999999998</v>
      </c>
      <c r="F12" s="92">
        <f t="shared" si="13"/>
        <v>51.87499999999998</v>
      </c>
      <c r="G12" s="109">
        <v>1746</v>
      </c>
      <c r="H12" s="110" t="s">
        <v>87</v>
      </c>
      <c r="I12" s="111">
        <f t="shared" si="3"/>
        <v>0.02</v>
      </c>
      <c r="J12" s="112">
        <f t="shared" si="14"/>
        <v>29.03071359966196</v>
      </c>
      <c r="K12" s="113">
        <f t="shared" si="4"/>
        <v>77.3376538</v>
      </c>
      <c r="L12" s="114">
        <f t="shared" si="15"/>
        <v>0.3753761870606678</v>
      </c>
      <c r="M12" s="97">
        <f t="shared" si="5"/>
        <v>3.7537618706066778</v>
      </c>
      <c r="N12" s="175">
        <f t="shared" si="6"/>
        <v>5.884061155233885</v>
      </c>
      <c r="O12" s="94">
        <f t="shared" si="7"/>
        <v>5.884061155233885</v>
      </c>
      <c r="P12" s="94" t="e">
        <f t="shared" si="7"/>
        <v>#N/A</v>
      </c>
      <c r="Q12" s="94" t="e">
        <f t="shared" si="7"/>
        <v>#N/A</v>
      </c>
      <c r="R12" s="94" t="e">
        <f t="shared" si="7"/>
        <v>#N/A</v>
      </c>
      <c r="S12" s="66"/>
      <c r="T12" s="175">
        <v>5.668</v>
      </c>
      <c r="U12" s="175">
        <v>6.77</v>
      </c>
      <c r="V12" s="175">
        <v>6.23</v>
      </c>
      <c r="W12" s="186">
        <v>973</v>
      </c>
      <c r="X12" s="110" t="s">
        <v>89</v>
      </c>
      <c r="Y12" s="111">
        <f t="shared" si="8"/>
        <v>0.016</v>
      </c>
      <c r="Z12" s="112">
        <f t="shared" si="17"/>
        <v>36.06242310093747</v>
      </c>
      <c r="AA12" s="113">
        <f t="shared" si="9"/>
        <v>84.3683496</v>
      </c>
      <c r="AB12" s="114">
        <f t="shared" si="16"/>
        <v>0.4274401866566496</v>
      </c>
      <c r="AC12" s="97">
        <f t="shared" si="10"/>
        <v>4.274401866566496</v>
      </c>
      <c r="AD12" s="175">
        <f t="shared" si="11"/>
        <v>4.677936744825862</v>
      </c>
      <c r="AE12" s="94">
        <f t="shared" si="12"/>
        <v>4.677936744825862</v>
      </c>
      <c r="AF12" s="94" t="e">
        <f t="shared" si="12"/>
        <v>#N/A</v>
      </c>
      <c r="AG12" s="94" t="e">
        <f t="shared" si="12"/>
        <v>#N/A</v>
      </c>
      <c r="AH12" s="94" t="e">
        <f t="shared" si="12"/>
        <v>#N/A</v>
      </c>
      <c r="AI12" s="66"/>
      <c r="AJ12" s="175">
        <v>3.84</v>
      </c>
      <c r="AK12" s="175">
        <v>5.816666666666666</v>
      </c>
      <c r="AL12" s="175">
        <v>4.5445507115303245</v>
      </c>
      <c r="AM12" s="157" t="s">
        <v>6</v>
      </c>
      <c r="AN12" s="16"/>
      <c r="AO12" s="16"/>
      <c r="AP12" s="16"/>
      <c r="AQ12" s="16"/>
      <c r="AR12" s="16"/>
      <c r="AS12" s="16"/>
    </row>
    <row r="13" spans="1:50" ht="15" customHeight="1">
      <c r="A13" s="3" t="s">
        <v>7</v>
      </c>
      <c r="B13" s="82">
        <f t="shared" si="0"/>
        <v>55.50544531304304</v>
      </c>
      <c r="C13" s="82">
        <f t="shared" si="0"/>
        <v>55.09170624907334</v>
      </c>
      <c r="D13" s="82">
        <f t="shared" si="1"/>
        <v>55.1461537659065</v>
      </c>
      <c r="E13" s="83">
        <f t="shared" si="2"/>
        <v>54.95964801988841</v>
      </c>
      <c r="F13" s="92">
        <f t="shared" si="13"/>
        <v>54.95964801988841</v>
      </c>
      <c r="G13" s="109">
        <v>1711</v>
      </c>
      <c r="H13" s="110" t="s">
        <v>87</v>
      </c>
      <c r="I13" s="111">
        <f t="shared" si="3"/>
        <v>0.02</v>
      </c>
      <c r="J13" s="112">
        <f t="shared" si="14"/>
        <v>31.292547315822762</v>
      </c>
      <c r="K13" s="113">
        <f t="shared" si="4"/>
        <v>77.3376538</v>
      </c>
      <c r="L13" s="114">
        <f t="shared" si="15"/>
        <v>0.4046224029079967</v>
      </c>
      <c r="M13" s="97">
        <f t="shared" si="5"/>
        <v>4.046224029079967</v>
      </c>
      <c r="N13" s="175">
        <f t="shared" si="6"/>
        <v>6.342498660160221</v>
      </c>
      <c r="O13" s="94">
        <f t="shared" si="7"/>
        <v>6.342498660160221</v>
      </c>
      <c r="P13" s="94" t="e">
        <f t="shared" si="7"/>
        <v>#N/A</v>
      </c>
      <c r="Q13" s="94" t="e">
        <f t="shared" si="7"/>
        <v>#N/A</v>
      </c>
      <c r="R13" s="94" t="e">
        <f t="shared" si="7"/>
        <v>#N/A</v>
      </c>
      <c r="S13" s="66"/>
      <c r="T13" s="175">
        <v>5.75</v>
      </c>
      <c r="U13" s="175">
        <v>6.88</v>
      </c>
      <c r="V13" s="175">
        <v>6.320793198657857</v>
      </c>
      <c r="W13" s="186">
        <v>948</v>
      </c>
      <c r="X13" s="110" t="s">
        <v>89</v>
      </c>
      <c r="Y13" s="111">
        <f t="shared" si="8"/>
        <v>0.016</v>
      </c>
      <c r="Z13" s="112">
        <f t="shared" si="17"/>
        <v>38.425326332988455</v>
      </c>
      <c r="AA13" s="113">
        <f t="shared" si="9"/>
        <v>84.3683496</v>
      </c>
      <c r="AB13" s="114">
        <f t="shared" si="16"/>
        <v>0.4554471732014117</v>
      </c>
      <c r="AC13" s="97">
        <f t="shared" si="10"/>
        <v>4.554471732014117</v>
      </c>
      <c r="AD13" s="175">
        <f t="shared" si="11"/>
        <v>4.984447259184276</v>
      </c>
      <c r="AE13" s="94">
        <f t="shared" si="12"/>
        <v>4.984447259184276</v>
      </c>
      <c r="AF13" s="94" t="e">
        <f t="shared" si="12"/>
        <v>#N/A</v>
      </c>
      <c r="AG13" s="94" t="e">
        <f t="shared" si="12"/>
        <v>#N/A</v>
      </c>
      <c r="AH13" s="94" t="e">
        <f t="shared" si="12"/>
        <v>#N/A</v>
      </c>
      <c r="AI13" s="66"/>
      <c r="AJ13" s="175">
        <v>3.81</v>
      </c>
      <c r="AK13" s="175">
        <v>5.783333333333333</v>
      </c>
      <c r="AL13" s="175">
        <v>4.560728976492256</v>
      </c>
      <c r="AM13" s="157"/>
      <c r="AN13" s="16"/>
      <c r="AO13" s="16"/>
      <c r="AP13" s="16"/>
      <c r="AQ13" s="16"/>
      <c r="AR13" s="16"/>
      <c r="AS13" s="16"/>
      <c r="AT13" s="17"/>
      <c r="AU13" s="17"/>
      <c r="AV13" s="17"/>
      <c r="AW13" s="17"/>
      <c r="AX13" s="17"/>
    </row>
    <row r="14" spans="1:50" ht="15" customHeight="1">
      <c r="A14" s="3" t="s">
        <v>8</v>
      </c>
      <c r="B14" s="82">
        <f t="shared" si="0"/>
        <v>57.99801316640079</v>
      </c>
      <c r="C14" s="82">
        <f t="shared" si="0"/>
        <v>57.99801316640079</v>
      </c>
      <c r="D14" s="82">
        <f t="shared" si="1"/>
        <v>58.09635952293024</v>
      </c>
      <c r="E14" s="83">
        <f t="shared" si="2"/>
        <v>58.2277187560487</v>
      </c>
      <c r="F14" s="92">
        <f t="shared" si="13"/>
        <v>58.2277187560487</v>
      </c>
      <c r="G14" s="109">
        <v>1671</v>
      </c>
      <c r="H14" s="110" t="s">
        <v>87</v>
      </c>
      <c r="I14" s="111">
        <f t="shared" si="3"/>
        <v>0.02</v>
      </c>
      <c r="J14" s="112">
        <f t="shared" si="14"/>
        <v>33.50159346330388</v>
      </c>
      <c r="K14" s="113">
        <f t="shared" si="4"/>
        <v>77.3376538</v>
      </c>
      <c r="L14" s="114">
        <f t="shared" si="15"/>
        <v>0.4331860590177857</v>
      </c>
      <c r="M14" s="97">
        <f t="shared" si="5"/>
        <v>4.331860590177857</v>
      </c>
      <c r="N14" s="175">
        <f t="shared" si="6"/>
        <v>6.7902369695162825</v>
      </c>
      <c r="O14" s="94">
        <f t="shared" si="7"/>
        <v>6.7902369695162825</v>
      </c>
      <c r="P14" s="94" t="e">
        <f t="shared" si="7"/>
        <v>#N/A</v>
      </c>
      <c r="Q14" s="94" t="e">
        <f t="shared" si="7"/>
        <v>#N/A</v>
      </c>
      <c r="R14" s="94" t="e">
        <f t="shared" si="7"/>
        <v>#N/A</v>
      </c>
      <c r="S14" s="66"/>
      <c r="T14" s="175">
        <v>5.82</v>
      </c>
      <c r="U14" s="175">
        <v>6.95</v>
      </c>
      <c r="V14" s="175">
        <v>6.397871975334324</v>
      </c>
      <c r="W14" s="186">
        <v>923</v>
      </c>
      <c r="X14" s="110" t="s">
        <v>90</v>
      </c>
      <c r="Y14" s="111">
        <f t="shared" si="8"/>
        <v>0.014</v>
      </c>
      <c r="Z14" s="112">
        <f t="shared" si="17"/>
        <v>40.88612554231388</v>
      </c>
      <c r="AA14" s="113">
        <f t="shared" si="9"/>
        <v>84.3683496</v>
      </c>
      <c r="AB14" s="114">
        <f t="shared" si="16"/>
        <v>0.48461449982321186</v>
      </c>
      <c r="AC14" s="97">
        <f t="shared" si="10"/>
        <v>4.846144998232119</v>
      </c>
      <c r="AD14" s="175">
        <f t="shared" si="11"/>
        <v>4.060612100014989</v>
      </c>
      <c r="AE14" s="94">
        <f t="shared" si="12"/>
        <v>4.060612100014989</v>
      </c>
      <c r="AF14" s="94" t="e">
        <f t="shared" si="12"/>
        <v>#N/A</v>
      </c>
      <c r="AG14" s="94" t="e">
        <f t="shared" si="12"/>
        <v>#N/A</v>
      </c>
      <c r="AH14" s="94" t="e">
        <f t="shared" si="12"/>
        <v>#N/A</v>
      </c>
      <c r="AI14" s="66"/>
      <c r="AJ14" s="175">
        <v>3.81</v>
      </c>
      <c r="AK14" s="175">
        <v>5.75</v>
      </c>
      <c r="AL14" s="175">
        <v>4.628899066993495</v>
      </c>
      <c r="AM14" s="157" t="s">
        <v>8</v>
      </c>
      <c r="AN14" s="16"/>
      <c r="AO14" s="16"/>
      <c r="AP14" s="16"/>
      <c r="AQ14" s="16"/>
      <c r="AR14" s="16"/>
      <c r="AS14" s="16"/>
      <c r="AT14" s="19"/>
      <c r="AU14" s="19"/>
      <c r="AV14" s="19"/>
      <c r="AW14" s="19"/>
      <c r="AX14" s="19"/>
    </row>
    <row r="15" spans="1:50" ht="15" customHeight="1">
      <c r="A15" s="3" t="s">
        <v>9</v>
      </c>
      <c r="B15" s="82">
        <f t="shared" si="0"/>
        <v>62.05697442068066</v>
      </c>
      <c r="C15" s="82">
        <f t="shared" si="0"/>
        <v>62.05697442068066</v>
      </c>
      <c r="D15" s="82">
        <f t="shared" si="1"/>
        <v>61.89946471246304</v>
      </c>
      <c r="E15" s="83">
        <f t="shared" si="2"/>
        <v>61.69011909076613</v>
      </c>
      <c r="F15" s="92">
        <f t="shared" si="13"/>
        <v>61.69011909076613</v>
      </c>
      <c r="G15" s="109">
        <v>1632</v>
      </c>
      <c r="H15" s="110" t="s">
        <v>88</v>
      </c>
      <c r="I15" s="111">
        <f t="shared" si="3"/>
        <v>0.018</v>
      </c>
      <c r="J15" s="112">
        <f t="shared" si="14"/>
        <v>35.86943527344322</v>
      </c>
      <c r="K15" s="113">
        <f t="shared" si="4"/>
        <v>77.3376538</v>
      </c>
      <c r="L15" s="114">
        <f t="shared" si="15"/>
        <v>0.4638029926044023</v>
      </c>
      <c r="M15" s="97">
        <f t="shared" si="5"/>
        <v>4.638029926044023</v>
      </c>
      <c r="N15" s="175">
        <f t="shared" si="6"/>
        <v>5.8888301013596775</v>
      </c>
      <c r="O15" s="94">
        <f t="shared" si="7"/>
        <v>5.8888301013596775</v>
      </c>
      <c r="P15" s="94" t="e">
        <f t="shared" si="7"/>
        <v>#N/A</v>
      </c>
      <c r="Q15" s="94" t="e">
        <f t="shared" si="7"/>
        <v>#N/A</v>
      </c>
      <c r="R15" s="94" t="e">
        <f t="shared" si="7"/>
        <v>#N/A</v>
      </c>
      <c r="S15" s="66"/>
      <c r="T15" s="175">
        <v>5.85</v>
      </c>
      <c r="U15" s="175">
        <v>7</v>
      </c>
      <c r="V15" s="175">
        <v>6.432343876959283</v>
      </c>
      <c r="W15" s="186">
        <v>898</v>
      </c>
      <c r="X15" s="110" t="s">
        <v>90</v>
      </c>
      <c r="Y15" s="111">
        <f t="shared" si="8"/>
        <v>0.014</v>
      </c>
      <c r="Z15" s="112">
        <f t="shared" si="17"/>
        <v>43.44070802432616</v>
      </c>
      <c r="AA15" s="113">
        <f t="shared" si="9"/>
        <v>84.3683496</v>
      </c>
      <c r="AB15" s="114">
        <f t="shared" si="16"/>
        <v>0.5148934195143502</v>
      </c>
      <c r="AC15" s="97">
        <f t="shared" si="10"/>
        <v>5.148934195143502</v>
      </c>
      <c r="AD15" s="175">
        <f t="shared" si="11"/>
        <v>4.314320867949237</v>
      </c>
      <c r="AE15" s="94">
        <f t="shared" si="12"/>
        <v>4.314320867949237</v>
      </c>
      <c r="AF15" s="94" t="e">
        <f t="shared" si="12"/>
        <v>#N/A</v>
      </c>
      <c r="AG15" s="94" t="e">
        <f t="shared" si="12"/>
        <v>#N/A</v>
      </c>
      <c r="AH15" s="94" t="e">
        <f t="shared" si="12"/>
        <v>#N/A</v>
      </c>
      <c r="AI15" s="66"/>
      <c r="AJ15" s="175">
        <v>3.85</v>
      </c>
      <c r="AK15" s="175">
        <v>5.716666666666667</v>
      </c>
      <c r="AL15" s="175">
        <v>4.7</v>
      </c>
      <c r="AM15" s="157"/>
      <c r="AN15" s="55"/>
      <c r="AO15" s="55"/>
      <c r="AP15" s="16"/>
      <c r="AQ15" s="16"/>
      <c r="AR15" s="16"/>
      <c r="AS15" s="101" t="s">
        <v>112</v>
      </c>
      <c r="AT15" s="102">
        <f>28000/193100</f>
        <v>0.14500258933195237</v>
      </c>
      <c r="AU15" s="19"/>
      <c r="AV15" s="19"/>
      <c r="AW15" s="19"/>
      <c r="AX15" s="19"/>
    </row>
    <row r="16" spans="1:50" ht="15" customHeight="1">
      <c r="A16" s="3" t="s">
        <v>10</v>
      </c>
      <c r="B16" s="82">
        <f t="shared" si="0"/>
        <v>64.84374999999999</v>
      </c>
      <c r="C16" s="82">
        <f t="shared" si="0"/>
        <v>65.04544372622229</v>
      </c>
      <c r="D16" s="82">
        <f t="shared" si="1"/>
        <v>65.35840446329652</v>
      </c>
      <c r="E16" s="83">
        <f t="shared" si="2"/>
        <v>65.35840446329652</v>
      </c>
      <c r="F16" s="92">
        <f t="shared" si="13"/>
        <v>65.35840446329652</v>
      </c>
      <c r="G16" s="109">
        <v>1594</v>
      </c>
      <c r="H16" s="110" t="s">
        <v>88</v>
      </c>
      <c r="I16" s="111">
        <f t="shared" si="3"/>
        <v>0.018</v>
      </c>
      <c r="J16" s="112">
        <f t="shared" si="14"/>
        <v>38.408958454259064</v>
      </c>
      <c r="K16" s="113">
        <f t="shared" si="4"/>
        <v>77.3376538</v>
      </c>
      <c r="L16" s="114">
        <f t="shared" si="15"/>
        <v>0.49663981989403283</v>
      </c>
      <c r="M16" s="97">
        <f t="shared" si="5"/>
        <v>4.966398198940328</v>
      </c>
      <c r="N16" s="175">
        <f t="shared" si="6"/>
        <v>6.305753881627864</v>
      </c>
      <c r="O16" s="94">
        <f t="shared" si="7"/>
        <v>6.305753881627864</v>
      </c>
      <c r="P16" s="94" t="e">
        <f t="shared" si="7"/>
        <v>#N/A</v>
      </c>
      <c r="Q16" s="94" t="e">
        <f t="shared" si="7"/>
        <v>#N/A</v>
      </c>
      <c r="R16" s="94" t="e">
        <f t="shared" si="7"/>
        <v>#N/A</v>
      </c>
      <c r="S16" s="66"/>
      <c r="T16" s="175">
        <v>5.86</v>
      </c>
      <c r="U16" s="175">
        <v>7</v>
      </c>
      <c r="V16" s="175">
        <v>6.46154503337964</v>
      </c>
      <c r="W16" s="186">
        <v>873</v>
      </c>
      <c r="X16" s="110" t="s">
        <v>90</v>
      </c>
      <c r="Y16" s="111">
        <f t="shared" si="8"/>
        <v>0.014</v>
      </c>
      <c r="Z16" s="112">
        <f t="shared" si="17"/>
        <v>46.083385307490936</v>
      </c>
      <c r="AA16" s="113">
        <f t="shared" si="9"/>
        <v>84.3683496</v>
      </c>
      <c r="AB16" s="114">
        <f t="shared" si="16"/>
        <v>0.5462165080385896</v>
      </c>
      <c r="AC16" s="97">
        <f t="shared" si="10"/>
        <v>5.462165080385896</v>
      </c>
      <c r="AD16" s="175">
        <f t="shared" si="11"/>
        <v>4.576778785155112</v>
      </c>
      <c r="AE16" s="94">
        <f t="shared" si="12"/>
        <v>4.576778785155112</v>
      </c>
      <c r="AF16" s="94" t="e">
        <f t="shared" si="12"/>
        <v>#N/A</v>
      </c>
      <c r="AG16" s="94" t="e">
        <f t="shared" si="12"/>
        <v>#N/A</v>
      </c>
      <c r="AH16" s="94" t="e">
        <f t="shared" si="12"/>
        <v>#N/A</v>
      </c>
      <c r="AI16" s="66"/>
      <c r="AJ16" s="175">
        <v>3.9</v>
      </c>
      <c r="AK16" s="175">
        <v>5.683333333333334</v>
      </c>
      <c r="AL16" s="175">
        <v>4.78</v>
      </c>
      <c r="AM16" s="157" t="s">
        <v>10</v>
      </c>
      <c r="AN16" s="55"/>
      <c r="AO16" s="55"/>
      <c r="AP16" s="16"/>
      <c r="AQ16" s="16"/>
      <c r="AR16" s="16"/>
      <c r="AS16" s="101" t="s">
        <v>113</v>
      </c>
      <c r="AT16" s="102">
        <v>0.70306958</v>
      </c>
      <c r="AU16" s="26"/>
      <c r="AV16" s="26"/>
      <c r="AW16" s="26"/>
      <c r="AX16" s="26"/>
    </row>
    <row r="17" spans="1:50" ht="15" customHeight="1">
      <c r="A17" s="3" t="s">
        <v>11</v>
      </c>
      <c r="B17" s="82">
        <f t="shared" si="0"/>
        <v>69.38180664130378</v>
      </c>
      <c r="C17" s="82">
        <f t="shared" si="0"/>
        <v>69.38180664130378</v>
      </c>
      <c r="D17" s="82">
        <f t="shared" si="1"/>
        <v>69.32305650529517</v>
      </c>
      <c r="E17" s="83">
        <f t="shared" si="2"/>
        <v>69.24481743507052</v>
      </c>
      <c r="F17" s="92">
        <f t="shared" si="13"/>
        <v>69.24481743507052</v>
      </c>
      <c r="G17" s="109">
        <v>1555</v>
      </c>
      <c r="H17" s="110" t="s">
        <v>93</v>
      </c>
      <c r="I17" s="111">
        <f t="shared" si="3"/>
        <v>0.018</v>
      </c>
      <c r="J17" s="112">
        <f t="shared" si="14"/>
        <v>40.38989991221161</v>
      </c>
      <c r="K17" s="113">
        <f t="shared" si="4"/>
        <v>84.3683496</v>
      </c>
      <c r="L17" s="114">
        <f t="shared" si="15"/>
        <v>0.47873284358061696</v>
      </c>
      <c r="M17" s="97">
        <f t="shared" si="5"/>
        <v>4.787328435806169</v>
      </c>
      <c r="N17" s="175">
        <f t="shared" si="6"/>
        <v>6.630973043783424</v>
      </c>
      <c r="O17" s="94" t="e">
        <f t="shared" si="7"/>
        <v>#N/A</v>
      </c>
      <c r="P17" s="94">
        <f t="shared" si="7"/>
        <v>6.630973043783424</v>
      </c>
      <c r="Q17" s="94" t="e">
        <f t="shared" si="7"/>
        <v>#N/A</v>
      </c>
      <c r="R17" s="94" t="e">
        <f t="shared" si="7"/>
        <v>#N/A</v>
      </c>
      <c r="S17" s="66"/>
      <c r="T17" s="175">
        <v>5.86</v>
      </c>
      <c r="U17" s="175">
        <v>7</v>
      </c>
      <c r="V17" s="175">
        <v>6.475464287358075</v>
      </c>
      <c r="W17" s="186">
        <v>848</v>
      </c>
      <c r="X17" s="110" t="s">
        <v>95</v>
      </c>
      <c r="Y17" s="111">
        <f t="shared" si="8"/>
        <v>0.014</v>
      </c>
      <c r="Z17" s="112">
        <f t="shared" si="17"/>
        <v>48.046713473137814</v>
      </c>
      <c r="AA17" s="113">
        <f t="shared" si="9"/>
        <v>87.8836975</v>
      </c>
      <c r="AB17" s="114">
        <f t="shared" si="16"/>
        <v>0.5467079201252065</v>
      </c>
      <c r="AC17" s="97">
        <f t="shared" si="10"/>
        <v>5.467079201252066</v>
      </c>
      <c r="AD17" s="175">
        <f t="shared" si="11"/>
        <v>4.771767036058838</v>
      </c>
      <c r="AE17" s="94" t="e">
        <f t="shared" si="12"/>
        <v>#N/A</v>
      </c>
      <c r="AF17" s="94">
        <f t="shared" si="12"/>
        <v>4.771767036058838</v>
      </c>
      <c r="AG17" s="94" t="e">
        <f t="shared" si="12"/>
        <v>#N/A</v>
      </c>
      <c r="AH17" s="94" t="e">
        <f t="shared" si="12"/>
        <v>#N/A</v>
      </c>
      <c r="AI17" s="66"/>
      <c r="AJ17" s="175">
        <v>4</v>
      </c>
      <c r="AK17" s="175">
        <v>5.65</v>
      </c>
      <c r="AL17" s="175">
        <v>4.911349166998933</v>
      </c>
      <c r="AM17" s="157"/>
      <c r="AN17" s="55"/>
      <c r="AO17" s="55"/>
      <c r="AP17" s="16"/>
      <c r="AQ17" s="16"/>
      <c r="AR17" s="16"/>
      <c r="AS17" s="16"/>
      <c r="AT17" s="19"/>
      <c r="AU17" s="19"/>
      <c r="AV17" s="19"/>
      <c r="AW17" s="19"/>
      <c r="AX17" s="19"/>
    </row>
    <row r="18" spans="1:50" ht="15" customHeight="1">
      <c r="A18" s="3" t="s">
        <v>12</v>
      </c>
      <c r="B18" s="82">
        <f t="shared" si="0"/>
        <v>74.23745685299303</v>
      </c>
      <c r="C18" s="82">
        <f t="shared" si="0"/>
        <v>73.26916721821256</v>
      </c>
      <c r="D18" s="82">
        <f t="shared" si="1"/>
        <v>73.52820502120866</v>
      </c>
      <c r="E18" s="83">
        <f t="shared" si="2"/>
        <v>73.36232854810427</v>
      </c>
      <c r="F18" s="92">
        <f t="shared" si="13"/>
        <v>73.36232854810427</v>
      </c>
      <c r="G18" s="109">
        <v>1515</v>
      </c>
      <c r="H18" s="110" t="s">
        <v>93</v>
      </c>
      <c r="I18" s="111">
        <f t="shared" si="3"/>
        <v>0.018</v>
      </c>
      <c r="J18" s="112">
        <f t="shared" si="14"/>
        <v>43.03372317869097</v>
      </c>
      <c r="K18" s="113">
        <f t="shared" si="4"/>
        <v>84.3683496</v>
      </c>
      <c r="L18" s="114">
        <f t="shared" si="15"/>
        <v>0.510069515199939</v>
      </c>
      <c r="M18" s="97">
        <f t="shared" si="5"/>
        <v>5.100695151999391</v>
      </c>
      <c r="N18" s="175">
        <f t="shared" si="6"/>
        <v>7.065020190487337</v>
      </c>
      <c r="O18" s="94" t="e">
        <f t="shared" si="7"/>
        <v>#N/A</v>
      </c>
      <c r="P18" s="94">
        <f t="shared" si="7"/>
        <v>7.065020190487337</v>
      </c>
      <c r="Q18" s="94" t="e">
        <f t="shared" si="7"/>
        <v>#N/A</v>
      </c>
      <c r="R18" s="94" t="e">
        <f t="shared" si="7"/>
        <v>#N/A</v>
      </c>
      <c r="S18" s="66"/>
      <c r="T18" s="175">
        <v>5.95</v>
      </c>
      <c r="U18" s="175">
        <v>7.5</v>
      </c>
      <c r="V18" s="175">
        <v>6.85</v>
      </c>
      <c r="W18" s="186">
        <v>823</v>
      </c>
      <c r="X18" s="110" t="s">
        <v>95</v>
      </c>
      <c r="Y18" s="111">
        <f t="shared" si="8"/>
        <v>0.014</v>
      </c>
      <c r="Z18" s="112">
        <f t="shared" si="17"/>
        <v>50.79761450297826</v>
      </c>
      <c r="AA18" s="113">
        <f t="shared" si="9"/>
        <v>87.8836975</v>
      </c>
      <c r="AB18" s="114">
        <f t="shared" si="16"/>
        <v>0.578009527910205</v>
      </c>
      <c r="AC18" s="97">
        <f t="shared" si="10"/>
        <v>5.78009527910205</v>
      </c>
      <c r="AD18" s="175">
        <f t="shared" si="11"/>
        <v>5.044973211981607</v>
      </c>
      <c r="AE18" s="94" t="e">
        <f t="shared" si="12"/>
        <v>#N/A</v>
      </c>
      <c r="AF18" s="94">
        <f t="shared" si="12"/>
        <v>5.044973211981607</v>
      </c>
      <c r="AG18" s="94" t="e">
        <f t="shared" si="12"/>
        <v>#N/A</v>
      </c>
      <c r="AH18" s="94" t="e">
        <f t="shared" si="12"/>
        <v>#N/A</v>
      </c>
      <c r="AI18" s="66"/>
      <c r="AJ18" s="175">
        <v>4.1</v>
      </c>
      <c r="AK18" s="175">
        <v>5.8</v>
      </c>
      <c r="AL18" s="175">
        <v>5</v>
      </c>
      <c r="AM18" s="157" t="s">
        <v>12</v>
      </c>
      <c r="AN18" s="100" t="s">
        <v>143</v>
      </c>
      <c r="AO18" s="55"/>
      <c r="AP18" s="16"/>
      <c r="AQ18" s="16"/>
      <c r="AR18" s="16"/>
      <c r="AU18" s="19"/>
      <c r="AV18" s="19"/>
      <c r="AW18" s="19"/>
      <c r="AX18" s="19"/>
    </row>
    <row r="19" spans="1:50" ht="15" customHeight="1">
      <c r="A19" s="3" t="s">
        <v>13</v>
      </c>
      <c r="B19" s="82">
        <f t="shared" si="0"/>
        <v>77.57121802585081</v>
      </c>
      <c r="C19" s="82">
        <f t="shared" si="0"/>
        <v>77.57121802585081</v>
      </c>
      <c r="D19" s="82">
        <f t="shared" si="1"/>
        <v>77.63695834139828</v>
      </c>
      <c r="E19" s="83">
        <f t="shared" si="2"/>
        <v>77.72467961297784</v>
      </c>
      <c r="F19" s="92">
        <f t="shared" si="13"/>
        <v>77.72467961297784</v>
      </c>
      <c r="G19" s="109">
        <v>1476</v>
      </c>
      <c r="H19" s="110" t="s">
        <v>93</v>
      </c>
      <c r="I19" s="111">
        <f t="shared" si="3"/>
        <v>0.018</v>
      </c>
      <c r="J19" s="112">
        <f t="shared" si="14"/>
        <v>45.84880672877931</v>
      </c>
      <c r="K19" s="113">
        <f t="shared" si="4"/>
        <v>84.3683496</v>
      </c>
      <c r="L19" s="114">
        <f t="shared" si="15"/>
        <v>0.5434360983254235</v>
      </c>
      <c r="M19" s="97">
        <f t="shared" si="5"/>
        <v>5.434360983254235</v>
      </c>
      <c r="N19" s="175">
        <f t="shared" si="6"/>
        <v>7.5271838298428815</v>
      </c>
      <c r="O19" s="94" t="e">
        <f t="shared" si="7"/>
        <v>#N/A</v>
      </c>
      <c r="P19" s="94">
        <f t="shared" si="7"/>
        <v>7.5271838298428815</v>
      </c>
      <c r="Q19" s="94" t="e">
        <f t="shared" si="7"/>
        <v>#N/A</v>
      </c>
      <c r="R19" s="94" t="e">
        <f t="shared" si="7"/>
        <v>#N/A</v>
      </c>
      <c r="S19" s="66"/>
      <c r="T19" s="175">
        <v>5.95</v>
      </c>
      <c r="U19" s="175">
        <v>7.5</v>
      </c>
      <c r="V19" s="175">
        <v>6.76</v>
      </c>
      <c r="W19" s="186">
        <v>798</v>
      </c>
      <c r="X19" s="187" t="s">
        <v>96</v>
      </c>
      <c r="Y19" s="111">
        <f t="shared" si="8"/>
        <v>0.013</v>
      </c>
      <c r="Z19" s="112">
        <f t="shared" si="17"/>
        <v>53.60694971415013</v>
      </c>
      <c r="AA19" s="113">
        <f t="shared" si="9"/>
        <v>87.8836975</v>
      </c>
      <c r="AB19" s="114">
        <f t="shared" si="16"/>
        <v>0.60997603923242</v>
      </c>
      <c r="AC19" s="97">
        <f t="shared" si="10"/>
        <v>6.0997603923242005</v>
      </c>
      <c r="AD19" s="175">
        <f t="shared" si="11"/>
        <v>4.590576995752035</v>
      </c>
      <c r="AE19" s="94" t="e">
        <f t="shared" si="12"/>
        <v>#N/A</v>
      </c>
      <c r="AF19" s="94">
        <f t="shared" si="12"/>
        <v>4.590576995752035</v>
      </c>
      <c r="AG19" s="94" t="e">
        <f t="shared" si="12"/>
        <v>#N/A</v>
      </c>
      <c r="AH19" s="94" t="e">
        <f t="shared" si="12"/>
        <v>#N/A</v>
      </c>
      <c r="AI19" s="66"/>
      <c r="AJ19" s="175">
        <v>4.066666666666666</v>
      </c>
      <c r="AK19" s="175">
        <v>5.666666666666667</v>
      </c>
      <c r="AL19" s="175">
        <v>4.88</v>
      </c>
      <c r="AM19" s="157"/>
      <c r="AN19" s="56"/>
      <c r="AO19" s="56"/>
      <c r="AP19" s="15"/>
      <c r="AU19" s="19"/>
      <c r="AV19" s="19"/>
      <c r="AW19" s="19"/>
      <c r="AX19" s="19"/>
    </row>
    <row r="20" spans="1:48" ht="15" customHeight="1">
      <c r="A20" s="3" t="s">
        <v>14</v>
      </c>
      <c r="B20" s="82">
        <f t="shared" si="0"/>
        <v>83.00000000000001</v>
      </c>
      <c r="C20" s="82">
        <f t="shared" si="0"/>
        <v>82.74263256090755</v>
      </c>
      <c r="D20" s="82">
        <f t="shared" si="1"/>
        <v>82.71923064885975</v>
      </c>
      <c r="E20" s="83">
        <f t="shared" si="2"/>
        <v>82.34642957085033</v>
      </c>
      <c r="F20" s="92">
        <f t="shared" si="13"/>
        <v>82.34642957085033</v>
      </c>
      <c r="G20" s="109">
        <v>1434</v>
      </c>
      <c r="H20" s="110" t="s">
        <v>94</v>
      </c>
      <c r="I20" s="111">
        <f t="shared" si="3"/>
        <v>0.016</v>
      </c>
      <c r="J20" s="112">
        <f t="shared" si="14"/>
        <v>48.57639604842862</v>
      </c>
      <c r="K20" s="113">
        <f t="shared" si="4"/>
        <v>84.3683496</v>
      </c>
      <c r="L20" s="114">
        <f t="shared" si="15"/>
        <v>0.5757656310540016</v>
      </c>
      <c r="M20" s="97">
        <f t="shared" si="5"/>
        <v>5.757656310540016</v>
      </c>
      <c r="N20" s="175">
        <f t="shared" si="6"/>
        <v>6.3012212842750115</v>
      </c>
      <c r="O20" s="94" t="e">
        <f t="shared" si="7"/>
        <v>#N/A</v>
      </c>
      <c r="P20" s="94">
        <f t="shared" si="7"/>
        <v>6.3012212842750115</v>
      </c>
      <c r="Q20" s="94" t="e">
        <f t="shared" si="7"/>
        <v>#N/A</v>
      </c>
      <c r="R20" s="94" t="e">
        <f t="shared" si="7"/>
        <v>#N/A</v>
      </c>
      <c r="S20" s="66"/>
      <c r="T20" s="175">
        <v>5.95</v>
      </c>
      <c r="U20" s="175">
        <v>7.46</v>
      </c>
      <c r="V20" s="175">
        <v>6.746941790520824</v>
      </c>
      <c r="W20" s="186">
        <v>773</v>
      </c>
      <c r="X20" s="187" t="s">
        <v>96</v>
      </c>
      <c r="Y20" s="111">
        <f t="shared" si="8"/>
        <v>0.013</v>
      </c>
      <c r="Z20" s="112">
        <f t="shared" si="17"/>
        <v>56.4606621702108</v>
      </c>
      <c r="AA20" s="113">
        <f t="shared" si="9"/>
        <v>87.8836975</v>
      </c>
      <c r="AB20" s="114">
        <f t="shared" si="16"/>
        <v>0.642447504785638</v>
      </c>
      <c r="AC20" s="97">
        <f t="shared" si="10"/>
        <v>6.4244750478563795</v>
      </c>
      <c r="AD20" s="175">
        <f t="shared" si="11"/>
        <v>4.83495177967721</v>
      </c>
      <c r="AE20" s="94" t="e">
        <f t="shared" si="12"/>
        <v>#N/A</v>
      </c>
      <c r="AF20" s="94">
        <f t="shared" si="12"/>
        <v>4.83495177967721</v>
      </c>
      <c r="AG20" s="94" t="e">
        <f t="shared" si="12"/>
        <v>#N/A</v>
      </c>
      <c r="AH20" s="94" t="e">
        <f t="shared" si="12"/>
        <v>#N/A</v>
      </c>
      <c r="AI20" s="66"/>
      <c r="AJ20" s="175">
        <v>4.033333333333333</v>
      </c>
      <c r="AK20" s="175">
        <v>5.533333333333334</v>
      </c>
      <c r="AL20" s="175">
        <v>4.76</v>
      </c>
      <c r="AM20" s="157" t="s">
        <v>14</v>
      </c>
      <c r="AO20" s="6"/>
      <c r="AR20" s="49"/>
      <c r="AT20" s="35"/>
      <c r="AU20" s="31"/>
      <c r="AV20" s="31"/>
    </row>
    <row r="21" spans="1:50" ht="15" customHeight="1">
      <c r="A21" s="3" t="s">
        <v>15</v>
      </c>
      <c r="B21" s="82">
        <f t="shared" si="0"/>
        <v>86.72725830162972</v>
      </c>
      <c r="C21" s="82">
        <f t="shared" si="0"/>
        <v>86.72725830162972</v>
      </c>
      <c r="D21" s="82">
        <f t="shared" si="1"/>
        <v>87.14453928439536</v>
      </c>
      <c r="E21" s="83">
        <f t="shared" si="2"/>
        <v>87.24300308257283</v>
      </c>
      <c r="F21" s="92">
        <f t="shared" si="13"/>
        <v>87.24300308257283</v>
      </c>
      <c r="G21" s="109">
        <v>1392</v>
      </c>
      <c r="H21" s="110" t="s">
        <v>94</v>
      </c>
      <c r="I21" s="111">
        <f t="shared" si="3"/>
        <v>0.016</v>
      </c>
      <c r="J21" s="112">
        <f t="shared" si="14"/>
        <v>51.37799173850141</v>
      </c>
      <c r="K21" s="113">
        <f t="shared" si="4"/>
        <v>84.3683496</v>
      </c>
      <c r="L21" s="114">
        <f t="shared" si="15"/>
        <v>0.6089723454600018</v>
      </c>
      <c r="M21" s="97">
        <f t="shared" si="5"/>
        <v>6.089723454600017</v>
      </c>
      <c r="N21" s="175">
        <f t="shared" si="6"/>
        <v>6.664638001616908</v>
      </c>
      <c r="O21" s="94" t="e">
        <f t="shared" si="7"/>
        <v>#N/A</v>
      </c>
      <c r="P21" s="94">
        <f t="shared" si="7"/>
        <v>6.664638001616908</v>
      </c>
      <c r="Q21" s="94" t="e">
        <f t="shared" si="7"/>
        <v>#N/A</v>
      </c>
      <c r="R21" s="94" t="e">
        <f t="shared" si="7"/>
        <v>#N/A</v>
      </c>
      <c r="S21" s="66"/>
      <c r="T21" s="175">
        <v>5.9</v>
      </c>
      <c r="U21" s="175">
        <v>7.42</v>
      </c>
      <c r="V21" s="175">
        <v>6.615704323145756</v>
      </c>
      <c r="W21" s="186">
        <v>748</v>
      </c>
      <c r="X21" s="187" t="s">
        <v>97</v>
      </c>
      <c r="Y21" s="111">
        <f t="shared" si="8"/>
        <v>0.012</v>
      </c>
      <c r="Z21" s="112">
        <f t="shared" si="17"/>
        <v>59.34195379520599</v>
      </c>
      <c r="AA21" s="113">
        <f t="shared" si="9"/>
        <v>87.8836975</v>
      </c>
      <c r="AB21" s="114">
        <f t="shared" si="16"/>
        <v>0.6752327847289993</v>
      </c>
      <c r="AC21" s="97">
        <f t="shared" si="10"/>
        <v>6.752327847289993</v>
      </c>
      <c r="AD21" s="175">
        <f t="shared" si="11"/>
        <v>4.329959242689911</v>
      </c>
      <c r="AE21" s="94" t="e">
        <f t="shared" si="12"/>
        <v>#N/A</v>
      </c>
      <c r="AF21" s="94">
        <f t="shared" si="12"/>
        <v>4.329959242689911</v>
      </c>
      <c r="AG21" s="94" t="e">
        <f t="shared" si="12"/>
        <v>#N/A</v>
      </c>
      <c r="AH21" s="94" t="e">
        <f t="shared" si="12"/>
        <v>#N/A</v>
      </c>
      <c r="AI21" s="66"/>
      <c r="AJ21" s="175">
        <v>4</v>
      </c>
      <c r="AK21" s="175">
        <v>5.4</v>
      </c>
      <c r="AL21" s="175">
        <v>4.64</v>
      </c>
      <c r="AM21" s="157"/>
      <c r="AN21" s="51"/>
      <c r="AO21" s="44"/>
      <c r="AP21" s="44"/>
      <c r="AQ21" s="72"/>
      <c r="AR21" s="44"/>
      <c r="AS21" s="44"/>
      <c r="AT21" s="44"/>
      <c r="AU21" s="17"/>
      <c r="AV21" s="17"/>
      <c r="AW21" s="17"/>
      <c r="AX21" s="17"/>
    </row>
    <row r="22" spans="1:50" ht="15" customHeight="1">
      <c r="A22" s="3" t="s">
        <v>16</v>
      </c>
      <c r="B22" s="82">
        <f t="shared" si="0"/>
        <v>92.79682106624128</v>
      </c>
      <c r="C22" s="82">
        <f t="shared" si="0"/>
        <v>92.79682106624128</v>
      </c>
      <c r="D22" s="82">
        <f t="shared" si="1"/>
        <v>92.63973326720668</v>
      </c>
      <c r="E22" s="83">
        <f t="shared" si="2"/>
        <v>92.43074200706018</v>
      </c>
      <c r="F22" s="92">
        <f t="shared" si="13"/>
        <v>92.43074200706018</v>
      </c>
      <c r="G22" s="109">
        <v>1352</v>
      </c>
      <c r="H22" s="110" t="s">
        <v>94</v>
      </c>
      <c r="I22" s="111">
        <f t="shared" si="3"/>
        <v>0.016</v>
      </c>
      <c r="J22" s="112">
        <f t="shared" si="14"/>
        <v>54.40310698817265</v>
      </c>
      <c r="K22" s="113">
        <f t="shared" si="4"/>
        <v>84.3683496</v>
      </c>
      <c r="L22" s="114">
        <f t="shared" si="15"/>
        <v>0.6448283893913299</v>
      </c>
      <c r="M22" s="97">
        <f t="shared" si="5"/>
        <v>6.448283893913299</v>
      </c>
      <c r="N22" s="175">
        <f t="shared" si="6"/>
        <v>7.057049175546102</v>
      </c>
      <c r="O22" s="94" t="e">
        <f t="shared" si="7"/>
        <v>#N/A</v>
      </c>
      <c r="P22" s="94">
        <f t="shared" si="7"/>
        <v>7.057049175546102</v>
      </c>
      <c r="Q22" s="94" t="e">
        <f t="shared" si="7"/>
        <v>#N/A</v>
      </c>
      <c r="R22" s="94" t="e">
        <f t="shared" si="7"/>
        <v>#N/A</v>
      </c>
      <c r="S22" s="66"/>
      <c r="T22" s="175">
        <v>5.78</v>
      </c>
      <c r="U22" s="175">
        <v>7.35</v>
      </c>
      <c r="V22" s="175">
        <v>6.489728061423674</v>
      </c>
      <c r="W22" s="186">
        <v>724</v>
      </c>
      <c r="X22" s="187" t="s">
        <v>97</v>
      </c>
      <c r="Y22" s="111">
        <f t="shared" si="8"/>
        <v>0.012</v>
      </c>
      <c r="Z22" s="112">
        <f t="shared" si="17"/>
        <v>62.40328377996304</v>
      </c>
      <c r="AA22" s="113">
        <f t="shared" si="9"/>
        <v>87.8836975</v>
      </c>
      <c r="AB22" s="114">
        <f t="shared" si="16"/>
        <v>0.7100666625907842</v>
      </c>
      <c r="AC22" s="97">
        <f t="shared" si="10"/>
        <v>7.100666625907842</v>
      </c>
      <c r="AD22" s="175">
        <f t="shared" si="11"/>
        <v>4.55333298107689</v>
      </c>
      <c r="AE22" s="94" t="e">
        <f t="shared" si="12"/>
        <v>#N/A</v>
      </c>
      <c r="AF22" s="94">
        <f t="shared" si="12"/>
        <v>4.55333298107689</v>
      </c>
      <c r="AG22" s="94" t="e">
        <f t="shared" si="12"/>
        <v>#N/A</v>
      </c>
      <c r="AH22" s="94" t="e">
        <f t="shared" si="12"/>
        <v>#N/A</v>
      </c>
      <c r="AI22" s="66"/>
      <c r="AJ22" s="175">
        <v>3.9666666666666663</v>
      </c>
      <c r="AK22" s="175">
        <v>5.2666666666666675</v>
      </c>
      <c r="AL22" s="175">
        <v>4.52</v>
      </c>
      <c r="AM22" s="157" t="s">
        <v>16</v>
      </c>
      <c r="AN22" s="192" t="s">
        <v>142</v>
      </c>
      <c r="AO22" s="193" t="s">
        <v>75</v>
      </c>
      <c r="AP22" s="194" t="s">
        <v>74</v>
      </c>
      <c r="AQ22" s="194"/>
      <c r="AR22" s="195" t="s">
        <v>117</v>
      </c>
      <c r="AS22" s="195" t="s">
        <v>82</v>
      </c>
      <c r="AT22" s="195" t="s">
        <v>82</v>
      </c>
      <c r="AU22" s="194" t="s">
        <v>74</v>
      </c>
      <c r="AV22" s="17"/>
      <c r="AW22" s="17"/>
      <c r="AX22" s="17"/>
    </row>
    <row r="23" spans="1:50" ht="15" customHeight="1">
      <c r="A23" s="3" t="s">
        <v>17</v>
      </c>
      <c r="B23" s="82">
        <f t="shared" si="0"/>
        <v>96.96402253231349</v>
      </c>
      <c r="C23" s="82">
        <f t="shared" si="0"/>
        <v>97.56816558933343</v>
      </c>
      <c r="D23" s="82">
        <f t="shared" si="1"/>
        <v>98.03760669494478</v>
      </c>
      <c r="E23" s="83">
        <f t="shared" si="2"/>
        <v>97.92695994072568</v>
      </c>
      <c r="F23" s="92">
        <f t="shared" si="13"/>
        <v>97.92695994072568</v>
      </c>
      <c r="G23" s="109">
        <v>1311</v>
      </c>
      <c r="H23" s="110" t="s">
        <v>95</v>
      </c>
      <c r="I23" s="111">
        <f t="shared" si="3"/>
        <v>0.014</v>
      </c>
      <c r="J23" s="112">
        <f t="shared" si="14"/>
        <v>57.41790855513589</v>
      </c>
      <c r="K23" s="113">
        <f t="shared" si="4"/>
        <v>87.8836975</v>
      </c>
      <c r="L23" s="114">
        <f t="shared" si="15"/>
        <v>0.6533396999498785</v>
      </c>
      <c r="M23" s="97">
        <f t="shared" si="5"/>
        <v>6.533396999498785</v>
      </c>
      <c r="N23" s="175">
        <f t="shared" si="6"/>
        <v>5.70246877501869</v>
      </c>
      <c r="O23" s="94" t="e">
        <f t="shared" si="7"/>
        <v>#N/A</v>
      </c>
      <c r="P23" s="94">
        <f t="shared" si="7"/>
        <v>5.70246877501869</v>
      </c>
      <c r="Q23" s="94" t="e">
        <f t="shared" si="7"/>
        <v>#N/A</v>
      </c>
      <c r="R23" s="94" t="e">
        <f t="shared" si="7"/>
        <v>#N/A</v>
      </c>
      <c r="S23" s="66"/>
      <c r="T23" s="175">
        <v>5.55</v>
      </c>
      <c r="U23" s="175">
        <v>7.2</v>
      </c>
      <c r="V23" s="175">
        <v>6.309300341305051</v>
      </c>
      <c r="W23" s="186">
        <v>700</v>
      </c>
      <c r="X23" s="187" t="s">
        <v>107</v>
      </c>
      <c r="Y23" s="111">
        <f t="shared" si="8"/>
        <v>0.011</v>
      </c>
      <c r="Z23" s="112">
        <f t="shared" si="17"/>
        <v>65.47839979151148</v>
      </c>
      <c r="AA23" s="113">
        <f t="shared" si="9"/>
        <v>91.39904539999999</v>
      </c>
      <c r="AB23" s="114">
        <f t="shared" si="16"/>
        <v>0.7164013530442352</v>
      </c>
      <c r="AC23" s="97">
        <f t="shared" si="10"/>
        <v>7.164013530442352</v>
      </c>
      <c r="AD23" s="175">
        <f t="shared" si="11"/>
        <v>4.0146057549611704</v>
      </c>
      <c r="AE23" s="94" t="e">
        <f t="shared" si="12"/>
        <v>#N/A</v>
      </c>
      <c r="AF23" s="94">
        <f t="shared" si="12"/>
        <v>4.0146057549611704</v>
      </c>
      <c r="AG23" s="94" t="e">
        <f t="shared" si="12"/>
        <v>#N/A</v>
      </c>
      <c r="AH23" s="94" t="e">
        <f t="shared" si="12"/>
        <v>#N/A</v>
      </c>
      <c r="AI23" s="66"/>
      <c r="AJ23" s="175">
        <v>3.933333333333333</v>
      </c>
      <c r="AK23" s="175">
        <v>5.133333333333335</v>
      </c>
      <c r="AL23" s="175">
        <v>4.503939676415668</v>
      </c>
      <c r="AM23" s="157"/>
      <c r="AN23" s="196"/>
      <c r="AO23" s="197"/>
      <c r="AP23" s="198" t="s">
        <v>76</v>
      </c>
      <c r="AQ23" s="198"/>
      <c r="AR23" s="198" t="s">
        <v>118</v>
      </c>
      <c r="AS23" s="198" t="s">
        <v>111</v>
      </c>
      <c r="AT23" s="198" t="s">
        <v>101</v>
      </c>
      <c r="AU23" s="198" t="s">
        <v>146</v>
      </c>
      <c r="AV23" s="17"/>
      <c r="AW23" s="17"/>
      <c r="AX23" s="17"/>
    </row>
    <row r="24" spans="1:55" ht="15" customHeight="1">
      <c r="A24" s="3" t="s">
        <v>18</v>
      </c>
      <c r="B24" s="84">
        <f t="shared" si="0"/>
        <v>103.75</v>
      </c>
      <c r="C24" s="84">
        <f t="shared" si="0"/>
        <v>103.75</v>
      </c>
      <c r="D24" s="84">
        <f t="shared" si="1"/>
        <v>103.75</v>
      </c>
      <c r="E24" s="85">
        <f t="shared" si="2"/>
        <v>103.74999999999997</v>
      </c>
      <c r="F24" s="92">
        <f t="shared" si="13"/>
        <v>103.74999999999997</v>
      </c>
      <c r="G24" s="109">
        <v>1271</v>
      </c>
      <c r="H24" s="110" t="s">
        <v>95</v>
      </c>
      <c r="I24" s="111">
        <f t="shared" si="3"/>
        <v>0.014</v>
      </c>
      <c r="J24" s="112">
        <f t="shared" si="14"/>
        <v>60.576580340060566</v>
      </c>
      <c r="K24" s="113">
        <f t="shared" si="4"/>
        <v>87.8836975</v>
      </c>
      <c r="L24" s="114">
        <f t="shared" si="15"/>
        <v>0.6892811984846288</v>
      </c>
      <c r="M24" s="97">
        <f t="shared" si="5"/>
        <v>6.892811984846288</v>
      </c>
      <c r="N24" s="175">
        <f t="shared" si="6"/>
        <v>6.01617276872597</v>
      </c>
      <c r="O24" s="94" t="e">
        <f t="shared" si="7"/>
        <v>#N/A</v>
      </c>
      <c r="P24" s="94">
        <f t="shared" si="7"/>
        <v>6.01617276872597</v>
      </c>
      <c r="Q24" s="94" t="e">
        <f t="shared" si="7"/>
        <v>#N/A</v>
      </c>
      <c r="R24" s="94" t="e">
        <f t="shared" si="7"/>
        <v>#N/A</v>
      </c>
      <c r="S24" s="66"/>
      <c r="T24" s="175">
        <v>5.3</v>
      </c>
      <c r="U24" s="175">
        <v>6.95</v>
      </c>
      <c r="V24" s="175">
        <v>6.105578952754939</v>
      </c>
      <c r="W24" s="186">
        <v>675</v>
      </c>
      <c r="X24" s="187" t="s">
        <v>107</v>
      </c>
      <c r="Y24" s="111">
        <f t="shared" si="8"/>
        <v>0.011</v>
      </c>
      <c r="Z24" s="112">
        <f t="shared" si="17"/>
        <v>68.34097789381376</v>
      </c>
      <c r="AA24" s="113">
        <f t="shared" si="9"/>
        <v>91.39904539999999</v>
      </c>
      <c r="AB24" s="114">
        <f t="shared" si="16"/>
        <v>0.7477209154069979</v>
      </c>
      <c r="AC24" s="97">
        <f t="shared" si="10"/>
        <v>7.477209154069979</v>
      </c>
      <c r="AD24" s="175">
        <f t="shared" si="11"/>
        <v>4.190115885937498</v>
      </c>
      <c r="AE24" s="94" t="e">
        <f t="shared" si="12"/>
        <v>#N/A</v>
      </c>
      <c r="AF24" s="94">
        <f t="shared" si="12"/>
        <v>4.190115885937498</v>
      </c>
      <c r="AG24" s="94" t="e">
        <f t="shared" si="12"/>
        <v>#N/A</v>
      </c>
      <c r="AH24" s="94" t="e">
        <f t="shared" si="12"/>
        <v>#N/A</v>
      </c>
      <c r="AI24" s="66"/>
      <c r="AJ24" s="175">
        <v>3.9</v>
      </c>
      <c r="AK24" s="175">
        <v>5</v>
      </c>
      <c r="AL24" s="175">
        <v>4.431615214600385</v>
      </c>
      <c r="AM24" s="157" t="s">
        <v>18</v>
      </c>
      <c r="AN24" s="199" t="s">
        <v>91</v>
      </c>
      <c r="AO24" s="70" t="s">
        <v>83</v>
      </c>
      <c r="AP24" s="200">
        <v>0.026</v>
      </c>
      <c r="AQ24" s="201"/>
      <c r="AR24" s="202">
        <v>8.76</v>
      </c>
      <c r="AS24" s="203">
        <v>80</v>
      </c>
      <c r="AT24" s="204">
        <f aca="true" t="shared" si="18" ref="AT24:AT47">AS24*$AT$16</f>
        <v>56.2455664</v>
      </c>
      <c r="AU24" s="205">
        <f>25.4*AP24</f>
        <v>0.6604</v>
      </c>
      <c r="AV24" s="68"/>
      <c r="AW24" s="68"/>
      <c r="AX24" s="68"/>
      <c r="BC24" s="99"/>
    </row>
    <row r="25" spans="1:55" ht="15" customHeight="1">
      <c r="A25" s="3" t="s">
        <v>19</v>
      </c>
      <c r="B25" s="84">
        <f t="shared" si="0"/>
        <v>111.01089062608608</v>
      </c>
      <c r="C25" s="84">
        <f t="shared" si="0"/>
        <v>110.18341249814668</v>
      </c>
      <c r="D25" s="84">
        <f t="shared" si="1"/>
        <v>110.292307531813</v>
      </c>
      <c r="E25" s="85">
        <f t="shared" si="2"/>
        <v>109.91929603977684</v>
      </c>
      <c r="F25" s="92">
        <f t="shared" si="13"/>
        <v>109.91929603977684</v>
      </c>
      <c r="G25" s="109">
        <v>1231</v>
      </c>
      <c r="H25" s="110" t="s">
        <v>136</v>
      </c>
      <c r="I25" s="111">
        <f t="shared" si="3"/>
        <v>0.014</v>
      </c>
      <c r="J25" s="112">
        <f t="shared" si="14"/>
        <v>58.083535185058885</v>
      </c>
      <c r="K25" s="113">
        <f t="shared" si="4"/>
        <v>119.52182859999999</v>
      </c>
      <c r="L25" s="114">
        <f t="shared" si="15"/>
        <v>0.4859659182377912</v>
      </c>
      <c r="M25" s="97">
        <f>L25*10</f>
        <v>4.859659182377912</v>
      </c>
      <c r="N25" s="175">
        <f t="shared" si="6"/>
        <v>5.768575590269752</v>
      </c>
      <c r="O25" s="94" t="e">
        <f t="shared" si="7"/>
        <v>#N/A</v>
      </c>
      <c r="P25" s="94" t="e">
        <f t="shared" si="7"/>
        <v>#N/A</v>
      </c>
      <c r="Q25" s="94">
        <f t="shared" si="7"/>
        <v>5.768575590269752</v>
      </c>
      <c r="R25" s="94" t="e">
        <f t="shared" si="7"/>
        <v>#N/A</v>
      </c>
      <c r="S25" s="66"/>
      <c r="T25" s="175">
        <v>5.25</v>
      </c>
      <c r="U25" s="175">
        <v>6.7</v>
      </c>
      <c r="V25" s="175">
        <v>5.87</v>
      </c>
      <c r="W25" s="186">
        <v>651</v>
      </c>
      <c r="X25" s="187" t="s">
        <v>131</v>
      </c>
      <c r="Y25" s="111">
        <f t="shared" si="8"/>
        <v>0.011</v>
      </c>
      <c r="Z25" s="112">
        <f t="shared" si="17"/>
        <v>64.97688747424053</v>
      </c>
      <c r="AA25" s="113">
        <f t="shared" si="9"/>
        <v>126.5525244</v>
      </c>
      <c r="AB25" s="114">
        <f t="shared" si="16"/>
        <v>0.5134380983888183</v>
      </c>
      <c r="AC25" s="97">
        <f t="shared" si="10"/>
        <v>5.134380983888183</v>
      </c>
      <c r="AD25" s="175">
        <f t="shared" si="11"/>
        <v>3.9838570769007617</v>
      </c>
      <c r="AE25" s="94" t="e">
        <f t="shared" si="12"/>
        <v>#N/A</v>
      </c>
      <c r="AF25" s="94" t="e">
        <f t="shared" si="12"/>
        <v>#N/A</v>
      </c>
      <c r="AG25" s="94">
        <f t="shared" si="12"/>
        <v>3.9838570769007617</v>
      </c>
      <c r="AH25" s="94" t="e">
        <f t="shared" si="12"/>
        <v>#N/A</v>
      </c>
      <c r="AI25" s="66"/>
      <c r="AJ25" s="175">
        <v>3.8</v>
      </c>
      <c r="AK25" s="175">
        <v>5.1</v>
      </c>
      <c r="AL25" s="175">
        <v>4.4</v>
      </c>
      <c r="AM25" s="157"/>
      <c r="AN25" s="206" t="s">
        <v>85</v>
      </c>
      <c r="AO25" s="36" t="s">
        <v>83</v>
      </c>
      <c r="AP25" s="170">
        <v>0.024</v>
      </c>
      <c r="AQ25" s="208"/>
      <c r="AR25" s="209">
        <v>8.76</v>
      </c>
      <c r="AS25" s="210">
        <v>80</v>
      </c>
      <c r="AT25" s="211">
        <f t="shared" si="18"/>
        <v>56.2455664</v>
      </c>
      <c r="AU25" s="205">
        <f aca="true" t="shared" si="19" ref="AU25:AU47">25.4*AP25</f>
        <v>0.6096</v>
      </c>
      <c r="AV25" s="68"/>
      <c r="AW25" s="68"/>
      <c r="AX25" s="68"/>
      <c r="BC25" s="99"/>
    </row>
    <row r="26" spans="1:55" ht="15" customHeight="1">
      <c r="A26" s="3" t="s">
        <v>20</v>
      </c>
      <c r="B26" s="84">
        <f t="shared" si="0"/>
        <v>115.99602633280158</v>
      </c>
      <c r="C26" s="84">
        <f t="shared" si="0"/>
        <v>115.99602633280158</v>
      </c>
      <c r="D26" s="84">
        <f t="shared" si="1"/>
        <v>116.19271904586049</v>
      </c>
      <c r="E26" s="85">
        <f t="shared" si="2"/>
        <v>116.45543751209743</v>
      </c>
      <c r="F26" s="92">
        <f t="shared" si="13"/>
        <v>116.45543751209743</v>
      </c>
      <c r="G26" s="109">
        <v>1192</v>
      </c>
      <c r="H26" s="110" t="s">
        <v>136</v>
      </c>
      <c r="I26" s="111">
        <f t="shared" si="3"/>
        <v>0.014</v>
      </c>
      <c r="J26" s="112">
        <f t="shared" si="14"/>
        <v>61.13094538947893</v>
      </c>
      <c r="K26" s="113">
        <f t="shared" si="4"/>
        <v>119.52182859999999</v>
      </c>
      <c r="L26" s="114">
        <f t="shared" si="15"/>
        <v>0.5114626014806382</v>
      </c>
      <c r="M26" s="97">
        <f aca="true" t="shared" si="20" ref="M26:M68">L26*10</f>
        <v>5.114626014806381</v>
      </c>
      <c r="N26" s="175">
        <f t="shared" si="6"/>
        <v>6.071229622307363</v>
      </c>
      <c r="O26" s="94" t="e">
        <f t="shared" si="7"/>
        <v>#N/A</v>
      </c>
      <c r="P26" s="94" t="e">
        <f t="shared" si="7"/>
        <v>#N/A</v>
      </c>
      <c r="Q26" s="94">
        <f t="shared" si="7"/>
        <v>6.071229622307363</v>
      </c>
      <c r="R26" s="94" t="e">
        <f t="shared" si="7"/>
        <v>#N/A</v>
      </c>
      <c r="S26" s="66"/>
      <c r="T26" s="175">
        <v>5.25</v>
      </c>
      <c r="U26" s="175">
        <v>6.55</v>
      </c>
      <c r="V26" s="175">
        <v>5.78</v>
      </c>
      <c r="W26" s="186">
        <v>627</v>
      </c>
      <c r="X26" s="187" t="s">
        <v>131</v>
      </c>
      <c r="Y26" s="111">
        <f t="shared" si="8"/>
        <v>0.011</v>
      </c>
      <c r="Z26" s="112">
        <f t="shared" si="17"/>
        <v>67.65558823369568</v>
      </c>
      <c r="AA26" s="113">
        <f t="shared" si="9"/>
        <v>126.5525244</v>
      </c>
      <c r="AB26" s="114">
        <f t="shared" si="16"/>
        <v>0.5346048097772729</v>
      </c>
      <c r="AC26" s="97">
        <f t="shared" si="10"/>
        <v>5.346048097772728</v>
      </c>
      <c r="AD26" s="175">
        <f t="shared" si="11"/>
        <v>4.148093336781408</v>
      </c>
      <c r="AE26" s="94" t="e">
        <f t="shared" si="12"/>
        <v>#N/A</v>
      </c>
      <c r="AF26" s="94" t="e">
        <f t="shared" si="12"/>
        <v>#N/A</v>
      </c>
      <c r="AG26" s="94">
        <f t="shared" si="12"/>
        <v>4.148093336781408</v>
      </c>
      <c r="AH26" s="94" t="e">
        <f t="shared" si="12"/>
        <v>#N/A</v>
      </c>
      <c r="AI26" s="66"/>
      <c r="AJ26" s="175">
        <v>3.7642857142857142</v>
      </c>
      <c r="AK26" s="175">
        <v>5.1</v>
      </c>
      <c r="AL26" s="175">
        <v>4.4</v>
      </c>
      <c r="AM26" s="157" t="s">
        <v>20</v>
      </c>
      <c r="AN26" s="206" t="s">
        <v>86</v>
      </c>
      <c r="AO26" s="36" t="s">
        <v>83</v>
      </c>
      <c r="AP26" s="170">
        <v>0.022</v>
      </c>
      <c r="AQ26" s="208"/>
      <c r="AR26" s="209">
        <v>8.76</v>
      </c>
      <c r="AS26" s="210">
        <v>80</v>
      </c>
      <c r="AT26" s="211">
        <f t="shared" si="18"/>
        <v>56.2455664</v>
      </c>
      <c r="AU26" s="205">
        <f t="shared" si="19"/>
        <v>0.5588</v>
      </c>
      <c r="AV26" s="68"/>
      <c r="AW26" s="68"/>
      <c r="AX26" s="68"/>
      <c r="BC26" s="99"/>
    </row>
    <row r="27" spans="1:55" ht="15" customHeight="1">
      <c r="A27" s="3" t="s">
        <v>21</v>
      </c>
      <c r="B27" s="84">
        <f t="shared" si="0"/>
        <v>124.11394884136132</v>
      </c>
      <c r="C27" s="84">
        <f t="shared" si="0"/>
        <v>124.11394884136132</v>
      </c>
      <c r="D27" s="84">
        <f t="shared" si="1"/>
        <v>123.79892942492609</v>
      </c>
      <c r="E27" s="85">
        <f t="shared" si="2"/>
        <v>123.38023818153228</v>
      </c>
      <c r="F27" s="92">
        <f t="shared" si="13"/>
        <v>123.38023818153228</v>
      </c>
      <c r="G27" s="109">
        <v>1152</v>
      </c>
      <c r="H27" s="110" t="s">
        <v>136</v>
      </c>
      <c r="I27" s="111">
        <f t="shared" si="3"/>
        <v>0.014</v>
      </c>
      <c r="J27" s="112">
        <f t="shared" si="14"/>
        <v>64.08925534189912</v>
      </c>
      <c r="K27" s="113">
        <f t="shared" si="4"/>
        <v>119.52182859999999</v>
      </c>
      <c r="L27" s="114">
        <f t="shared" si="15"/>
        <v>0.5362138120927237</v>
      </c>
      <c r="M27" s="97">
        <f t="shared" si="20"/>
        <v>5.362138120927237</v>
      </c>
      <c r="N27" s="175">
        <f t="shared" si="6"/>
        <v>6.365034648561566</v>
      </c>
      <c r="O27" s="94" t="e">
        <f t="shared" si="7"/>
        <v>#N/A</v>
      </c>
      <c r="P27" s="94" t="e">
        <f t="shared" si="7"/>
        <v>#N/A</v>
      </c>
      <c r="Q27" s="94">
        <f t="shared" si="7"/>
        <v>6.365034648561566</v>
      </c>
      <c r="R27" s="94" t="e">
        <f t="shared" si="7"/>
        <v>#N/A</v>
      </c>
      <c r="S27" s="66"/>
      <c r="T27" s="175">
        <v>5.2</v>
      </c>
      <c r="U27" s="175">
        <v>6.75</v>
      </c>
      <c r="V27" s="175">
        <v>6</v>
      </c>
      <c r="W27" s="186">
        <v>603</v>
      </c>
      <c r="X27" s="187" t="s">
        <v>131</v>
      </c>
      <c r="Y27" s="111">
        <f t="shared" si="8"/>
        <v>0.011</v>
      </c>
      <c r="Z27" s="112">
        <f t="shared" si="17"/>
        <v>70.23844414789677</v>
      </c>
      <c r="AA27" s="113">
        <f t="shared" si="9"/>
        <v>126.5525244</v>
      </c>
      <c r="AB27" s="114">
        <f t="shared" si="16"/>
        <v>0.5550141688670793</v>
      </c>
      <c r="AC27" s="97">
        <f t="shared" si="10"/>
        <v>5.550141688670793</v>
      </c>
      <c r="AD27" s="175">
        <f t="shared" si="11"/>
        <v>4.306453166135873</v>
      </c>
      <c r="AE27" s="94" t="e">
        <f t="shared" si="12"/>
        <v>#N/A</v>
      </c>
      <c r="AF27" s="94" t="e">
        <f t="shared" si="12"/>
        <v>#N/A</v>
      </c>
      <c r="AG27" s="94">
        <f t="shared" si="12"/>
        <v>4.306453166135873</v>
      </c>
      <c r="AH27" s="94" t="e">
        <f t="shared" si="12"/>
        <v>#N/A</v>
      </c>
      <c r="AI27" s="66"/>
      <c r="AJ27" s="175">
        <v>3.7285714285714286</v>
      </c>
      <c r="AK27" s="175">
        <v>5.1</v>
      </c>
      <c r="AL27" s="175">
        <v>4.4</v>
      </c>
      <c r="AM27" s="157"/>
      <c r="AN27" s="206" t="s">
        <v>87</v>
      </c>
      <c r="AO27" s="36" t="s">
        <v>83</v>
      </c>
      <c r="AP27" s="170">
        <v>0.02</v>
      </c>
      <c r="AQ27" s="208"/>
      <c r="AR27" s="209">
        <v>8.67</v>
      </c>
      <c r="AS27" s="210">
        <v>110</v>
      </c>
      <c r="AT27" s="211">
        <f t="shared" si="18"/>
        <v>77.3376538</v>
      </c>
      <c r="AU27" s="205">
        <f t="shared" si="19"/>
        <v>0.508</v>
      </c>
      <c r="AV27" s="68"/>
      <c r="AW27" s="68"/>
      <c r="AX27" s="68"/>
      <c r="BC27" s="99"/>
    </row>
    <row r="28" spans="1:55" ht="15" customHeight="1">
      <c r="A28" s="3" t="s">
        <v>22</v>
      </c>
      <c r="B28" s="84">
        <f t="shared" si="0"/>
        <v>129.68749999999997</v>
      </c>
      <c r="C28" s="84">
        <f t="shared" si="0"/>
        <v>130.09088745244458</v>
      </c>
      <c r="D28" s="84">
        <f t="shared" si="1"/>
        <v>130.71680892659305</v>
      </c>
      <c r="E28" s="85">
        <f t="shared" si="2"/>
        <v>130.71680892659307</v>
      </c>
      <c r="F28" s="92">
        <f t="shared" si="13"/>
        <v>130.71680892659307</v>
      </c>
      <c r="G28" s="109">
        <v>1113</v>
      </c>
      <c r="H28" s="110" t="s">
        <v>132</v>
      </c>
      <c r="I28" s="111">
        <f t="shared" si="3"/>
        <v>0.013</v>
      </c>
      <c r="J28" s="112">
        <f t="shared" si="14"/>
        <v>67.14941940134598</v>
      </c>
      <c r="K28" s="113">
        <f t="shared" si="4"/>
        <v>119.52182859999999</v>
      </c>
      <c r="L28" s="114">
        <f t="shared" si="15"/>
        <v>0.5618172026640662</v>
      </c>
      <c r="M28" s="97">
        <f t="shared" si="20"/>
        <v>5.6181720266406625</v>
      </c>
      <c r="N28" s="175">
        <f t="shared" si="6"/>
        <v>5.750272709520668</v>
      </c>
      <c r="O28" s="94" t="e">
        <f aca="true" t="shared" si="21" ref="O28:R47">IF(LEFT($H28,2)=O$6,$N28,NA())</f>
        <v>#N/A</v>
      </c>
      <c r="P28" s="94" t="e">
        <f t="shared" si="21"/>
        <v>#N/A</v>
      </c>
      <c r="Q28" s="94">
        <f t="shared" si="21"/>
        <v>5.750272709520668</v>
      </c>
      <c r="R28" s="94" t="e">
        <f t="shared" si="21"/>
        <v>#N/A</v>
      </c>
      <c r="S28" s="66"/>
      <c r="T28" s="175">
        <v>5.139247311827957</v>
      </c>
      <c r="U28" s="175">
        <v>6.74</v>
      </c>
      <c r="V28" s="175">
        <v>5.942857142857143</v>
      </c>
      <c r="W28" s="186">
        <v>579</v>
      </c>
      <c r="X28" s="187" t="s">
        <v>131</v>
      </c>
      <c r="Y28" s="111">
        <f t="shared" si="8"/>
        <v>0.011</v>
      </c>
      <c r="Z28" s="112">
        <f t="shared" si="17"/>
        <v>72.68905989583732</v>
      </c>
      <c r="AA28" s="113">
        <f t="shared" si="9"/>
        <v>126.5525244</v>
      </c>
      <c r="AB28" s="114">
        <f t="shared" si="16"/>
        <v>0.5743785850220252</v>
      </c>
      <c r="AC28" s="97">
        <f t="shared" si="10"/>
        <v>5.743785850220252</v>
      </c>
      <c r="AD28" s="175">
        <f t="shared" si="11"/>
        <v>4.456705098318186</v>
      </c>
      <c r="AE28" s="94" t="e">
        <f aca="true" t="shared" si="22" ref="AE28:AH47">IF(LEFT($X28,2)=AE$6,$AD28,NA())</f>
        <v>#N/A</v>
      </c>
      <c r="AF28" s="94" t="e">
        <f t="shared" si="22"/>
        <v>#N/A</v>
      </c>
      <c r="AG28" s="94">
        <f t="shared" si="22"/>
        <v>4.456705098318186</v>
      </c>
      <c r="AH28" s="94" t="e">
        <f t="shared" si="22"/>
        <v>#N/A</v>
      </c>
      <c r="AI28" s="66"/>
      <c r="AJ28" s="175">
        <v>3.6928571428571426</v>
      </c>
      <c r="AK28" s="175">
        <v>5.1</v>
      </c>
      <c r="AL28" s="175">
        <v>4.4</v>
      </c>
      <c r="AM28" s="157" t="s">
        <v>22</v>
      </c>
      <c r="AN28" s="206" t="s">
        <v>88</v>
      </c>
      <c r="AO28" s="36" t="s">
        <v>83</v>
      </c>
      <c r="AP28" s="170">
        <v>0.018</v>
      </c>
      <c r="AQ28" s="208"/>
      <c r="AR28" s="209">
        <v>8.67</v>
      </c>
      <c r="AS28" s="210">
        <v>110</v>
      </c>
      <c r="AT28" s="211">
        <f t="shared" si="18"/>
        <v>77.3376538</v>
      </c>
      <c r="AU28" s="205">
        <f t="shared" si="19"/>
        <v>0.45719999999999994</v>
      </c>
      <c r="AV28" s="68"/>
      <c r="AW28" s="68"/>
      <c r="AX28" s="68"/>
      <c r="BC28" s="99"/>
    </row>
    <row r="29" spans="1:55" ht="15" customHeight="1">
      <c r="A29" s="3" t="s">
        <v>23</v>
      </c>
      <c r="B29" s="84">
        <f t="shared" si="0"/>
        <v>138.76361328260757</v>
      </c>
      <c r="C29" s="84">
        <f t="shared" si="0"/>
        <v>138.76361328260757</v>
      </c>
      <c r="D29" s="84">
        <f t="shared" si="1"/>
        <v>138.64611301059034</v>
      </c>
      <c r="E29" s="85">
        <f t="shared" si="2"/>
        <v>138.48963487014103</v>
      </c>
      <c r="F29" s="92">
        <f t="shared" si="13"/>
        <v>138.48963487014103</v>
      </c>
      <c r="G29" s="109">
        <v>1073</v>
      </c>
      <c r="H29" s="110" t="s">
        <v>132</v>
      </c>
      <c r="I29" s="111">
        <f t="shared" si="3"/>
        <v>0.013</v>
      </c>
      <c r="J29" s="112">
        <f t="shared" si="14"/>
        <v>70.05240392316131</v>
      </c>
      <c r="K29" s="113">
        <f t="shared" si="4"/>
        <v>119.52182859999999</v>
      </c>
      <c r="L29" s="114">
        <f t="shared" si="15"/>
        <v>0.5861055235157381</v>
      </c>
      <c r="M29" s="97">
        <f t="shared" si="20"/>
        <v>5.861055235157381</v>
      </c>
      <c r="N29" s="175">
        <f t="shared" si="6"/>
        <v>5.998866857031955</v>
      </c>
      <c r="O29" s="94" t="e">
        <f t="shared" si="21"/>
        <v>#N/A</v>
      </c>
      <c r="P29" s="94" t="e">
        <f t="shared" si="21"/>
        <v>#N/A</v>
      </c>
      <c r="Q29" s="94">
        <f t="shared" si="21"/>
        <v>5.998866857031955</v>
      </c>
      <c r="R29" s="94" t="e">
        <f t="shared" si="21"/>
        <v>#N/A</v>
      </c>
      <c r="S29" s="66"/>
      <c r="T29" s="175">
        <v>5.0784946236559145</v>
      </c>
      <c r="U29" s="175">
        <v>6.71</v>
      </c>
      <c r="V29" s="175">
        <v>5.885714285714285</v>
      </c>
      <c r="W29" s="186">
        <v>555</v>
      </c>
      <c r="X29" s="187" t="s">
        <v>131</v>
      </c>
      <c r="Y29" s="111">
        <f t="shared" si="8"/>
        <v>0.011</v>
      </c>
      <c r="Z29" s="112">
        <f t="shared" si="17"/>
        <v>74.9669007501132</v>
      </c>
      <c r="AA29" s="113">
        <f t="shared" si="9"/>
        <v>126.5525244</v>
      </c>
      <c r="AB29" s="114">
        <f t="shared" si="16"/>
        <v>0.5923777586068698</v>
      </c>
      <c r="AC29" s="97">
        <f t="shared" si="10"/>
        <v>5.923777586068698</v>
      </c>
      <c r="AD29" s="175">
        <f t="shared" si="11"/>
        <v>4.596363871769872</v>
      </c>
      <c r="AE29" s="94" t="e">
        <f t="shared" si="22"/>
        <v>#N/A</v>
      </c>
      <c r="AF29" s="94" t="e">
        <f t="shared" si="22"/>
        <v>#N/A</v>
      </c>
      <c r="AG29" s="94">
        <f t="shared" si="22"/>
        <v>4.596363871769872</v>
      </c>
      <c r="AH29" s="94" t="e">
        <f t="shared" si="22"/>
        <v>#N/A</v>
      </c>
      <c r="AI29" s="66"/>
      <c r="AJ29" s="175">
        <v>3.657142857142857</v>
      </c>
      <c r="AK29" s="175">
        <v>5.08</v>
      </c>
      <c r="AL29" s="175">
        <v>4.38</v>
      </c>
      <c r="AM29" s="157"/>
      <c r="AN29" s="206" t="s">
        <v>89</v>
      </c>
      <c r="AO29" s="36" t="s">
        <v>83</v>
      </c>
      <c r="AP29" s="170">
        <v>0.016</v>
      </c>
      <c r="AQ29" s="208"/>
      <c r="AR29" s="209">
        <v>8.67</v>
      </c>
      <c r="AS29" s="210">
        <v>120</v>
      </c>
      <c r="AT29" s="211">
        <f t="shared" si="18"/>
        <v>84.3683496</v>
      </c>
      <c r="AU29" s="205">
        <f t="shared" si="19"/>
        <v>0.4064</v>
      </c>
      <c r="AV29" s="68"/>
      <c r="AW29" s="68"/>
      <c r="AX29" s="68"/>
      <c r="BC29" s="99"/>
    </row>
    <row r="30" spans="1:55" ht="15" customHeight="1">
      <c r="A30" s="3" t="s">
        <v>24</v>
      </c>
      <c r="B30" s="86">
        <f>B37/$B$6</f>
        <v>148.47491370598607</v>
      </c>
      <c r="C30" s="84">
        <f t="shared" si="0"/>
        <v>146.53833443642512</v>
      </c>
      <c r="D30" s="86">
        <f>D37/1.5</f>
        <v>147.05641004241733</v>
      </c>
      <c r="E30" s="85">
        <f t="shared" si="2"/>
        <v>146.72465709620857</v>
      </c>
      <c r="F30" s="92">
        <f t="shared" si="13"/>
        <v>146.72465709620857</v>
      </c>
      <c r="G30" s="109">
        <v>1035</v>
      </c>
      <c r="H30" s="110" t="s">
        <v>132</v>
      </c>
      <c r="I30" s="111">
        <f t="shared" si="3"/>
        <v>0.013</v>
      </c>
      <c r="J30" s="112">
        <f t="shared" si="14"/>
        <v>73.1603820534566</v>
      </c>
      <c r="K30" s="113">
        <f t="shared" si="4"/>
        <v>119.52182859999999</v>
      </c>
      <c r="L30" s="114">
        <f t="shared" si="15"/>
        <v>0.6121089587601625</v>
      </c>
      <c r="M30" s="97">
        <f t="shared" si="20"/>
        <v>6.121089587601625</v>
      </c>
      <c r="N30" s="175">
        <f t="shared" si="6"/>
        <v>6.265015425161882</v>
      </c>
      <c r="O30" s="94" t="e">
        <f t="shared" si="21"/>
        <v>#N/A</v>
      </c>
      <c r="P30" s="94" t="e">
        <f t="shared" si="21"/>
        <v>#N/A</v>
      </c>
      <c r="Q30" s="94">
        <f t="shared" si="21"/>
        <v>6.265015425161882</v>
      </c>
      <c r="R30" s="94" t="e">
        <f t="shared" si="21"/>
        <v>#N/A</v>
      </c>
      <c r="S30" s="66"/>
      <c r="T30" s="175">
        <v>5.017741935483871</v>
      </c>
      <c r="U30" s="175">
        <v>6.67</v>
      </c>
      <c r="V30" s="175">
        <v>5.828571428571428</v>
      </c>
      <c r="W30" s="186">
        <v>532</v>
      </c>
      <c r="X30" s="187" t="s">
        <v>134</v>
      </c>
      <c r="Y30" s="111">
        <f t="shared" si="8"/>
        <v>0.01</v>
      </c>
      <c r="Z30" s="112">
        <f t="shared" si="17"/>
        <v>77.31762783839999</v>
      </c>
      <c r="AA30" s="113">
        <f t="shared" si="9"/>
        <v>133.5832202</v>
      </c>
      <c r="AB30" s="114">
        <f t="shared" si="16"/>
        <v>0.5787974546701337</v>
      </c>
      <c r="AC30" s="97">
        <f t="shared" si="10"/>
        <v>5.787974546701337</v>
      </c>
      <c r="AD30" s="175">
        <f t="shared" si="11"/>
        <v>3.9177615201995657</v>
      </c>
      <c r="AE30" s="94" t="e">
        <f t="shared" si="22"/>
        <v>#N/A</v>
      </c>
      <c r="AF30" s="94" t="e">
        <f t="shared" si="22"/>
        <v>#N/A</v>
      </c>
      <c r="AG30" s="94">
        <f t="shared" si="22"/>
        <v>3.9177615201995657</v>
      </c>
      <c r="AH30" s="94" t="e">
        <f t="shared" si="22"/>
        <v>#N/A</v>
      </c>
      <c r="AI30" s="66"/>
      <c r="AJ30" s="175">
        <v>3.6214285714285714</v>
      </c>
      <c r="AK30" s="175">
        <v>5.032692307692307</v>
      </c>
      <c r="AL30" s="175">
        <v>4.355555555555556</v>
      </c>
      <c r="AM30" s="157" t="s">
        <v>24</v>
      </c>
      <c r="AN30" s="212" t="s">
        <v>90</v>
      </c>
      <c r="AO30" s="71" t="s">
        <v>83</v>
      </c>
      <c r="AP30" s="214">
        <v>0.014</v>
      </c>
      <c r="AQ30" s="215"/>
      <c r="AR30" s="216">
        <v>8.67</v>
      </c>
      <c r="AS30" s="217">
        <v>120</v>
      </c>
      <c r="AT30" s="218">
        <f t="shared" si="18"/>
        <v>84.3683496</v>
      </c>
      <c r="AU30" s="205">
        <f t="shared" si="19"/>
        <v>0.35559999999999997</v>
      </c>
      <c r="AV30" s="68"/>
      <c r="AW30" s="68"/>
      <c r="AX30" s="68"/>
      <c r="BC30" s="99"/>
    </row>
    <row r="31" spans="1:55" ht="15" customHeight="1">
      <c r="A31" s="3" t="s">
        <v>25</v>
      </c>
      <c r="B31" s="86">
        <f t="shared" si="0"/>
        <v>155.14243605170162</v>
      </c>
      <c r="C31" s="86">
        <f t="shared" si="0"/>
        <v>155.14243605170162</v>
      </c>
      <c r="D31" s="86">
        <f>D43/2</f>
        <v>155.27391668279657</v>
      </c>
      <c r="E31" s="85">
        <f t="shared" si="2"/>
        <v>155.44935922595567</v>
      </c>
      <c r="F31" s="92">
        <f t="shared" si="13"/>
        <v>155.44935922595567</v>
      </c>
      <c r="G31" s="109">
        <v>997</v>
      </c>
      <c r="H31" s="110" t="s">
        <v>133</v>
      </c>
      <c r="I31" s="111">
        <f t="shared" si="3"/>
        <v>0.012</v>
      </c>
      <c r="J31" s="112">
        <f t="shared" si="14"/>
        <v>76.2003994107876</v>
      </c>
      <c r="K31" s="113">
        <f t="shared" si="4"/>
        <v>119.52182859999999</v>
      </c>
      <c r="L31" s="114">
        <f t="shared" si="15"/>
        <v>0.6375437884723562</v>
      </c>
      <c r="M31" s="97">
        <f t="shared" si="20"/>
        <v>6.375437884723562</v>
      </c>
      <c r="N31" s="175">
        <f t="shared" si="6"/>
        <v>5.560056631503386</v>
      </c>
      <c r="O31" s="94" t="e">
        <f t="shared" si="21"/>
        <v>#N/A</v>
      </c>
      <c r="P31" s="94" t="e">
        <f t="shared" si="21"/>
        <v>#N/A</v>
      </c>
      <c r="Q31" s="94">
        <f t="shared" si="21"/>
        <v>5.560056631503386</v>
      </c>
      <c r="R31" s="94" t="e">
        <f t="shared" si="21"/>
        <v>#N/A</v>
      </c>
      <c r="S31" s="66"/>
      <c r="T31" s="175">
        <v>4.956989247311828</v>
      </c>
      <c r="U31" s="175">
        <v>6.62</v>
      </c>
      <c r="V31" s="175">
        <v>5.771428571428571</v>
      </c>
      <c r="W31" s="186">
        <v>509</v>
      </c>
      <c r="X31" s="187" t="s">
        <v>134</v>
      </c>
      <c r="Y31" s="111">
        <f t="shared" si="8"/>
        <v>0.01</v>
      </c>
      <c r="Z31" s="112">
        <f t="shared" si="17"/>
        <v>79.44425324014674</v>
      </c>
      <c r="AA31" s="113">
        <f t="shared" si="9"/>
        <v>133.5832202</v>
      </c>
      <c r="AB31" s="114">
        <f t="shared" si="16"/>
        <v>0.5947173089644289</v>
      </c>
      <c r="AC31" s="97">
        <f t="shared" si="10"/>
        <v>5.947173089644289</v>
      </c>
      <c r="AD31" s="175">
        <f t="shared" si="11"/>
        <v>4.025519755931476</v>
      </c>
      <c r="AE31" s="94" t="e">
        <f t="shared" si="22"/>
        <v>#N/A</v>
      </c>
      <c r="AF31" s="94" t="e">
        <f t="shared" si="22"/>
        <v>#N/A</v>
      </c>
      <c r="AG31" s="94">
        <f t="shared" si="22"/>
        <v>4.025519755931476</v>
      </c>
      <c r="AH31" s="94" t="e">
        <f t="shared" si="22"/>
        <v>#N/A</v>
      </c>
      <c r="AI31" s="66"/>
      <c r="AJ31" s="175">
        <v>3.5857142857142854</v>
      </c>
      <c r="AK31" s="175">
        <v>4.965384615384615</v>
      </c>
      <c r="AL31" s="175">
        <v>4.311111111111112</v>
      </c>
      <c r="AM31" s="157"/>
      <c r="AN31" s="199" t="s">
        <v>92</v>
      </c>
      <c r="AO31" s="70" t="s">
        <v>84</v>
      </c>
      <c r="AP31" s="200">
        <v>0.02</v>
      </c>
      <c r="AQ31" s="201"/>
      <c r="AR31" s="202">
        <v>8.535</v>
      </c>
      <c r="AS31" s="203">
        <v>120</v>
      </c>
      <c r="AT31" s="204">
        <f t="shared" si="18"/>
        <v>84.3683496</v>
      </c>
      <c r="AU31" s="205">
        <f t="shared" si="19"/>
        <v>0.508</v>
      </c>
      <c r="AV31" s="68"/>
      <c r="AW31" s="68"/>
      <c r="AX31" s="68"/>
      <c r="BC31" s="99"/>
    </row>
    <row r="32" spans="1:55" ht="15" customHeight="1">
      <c r="A32" s="3" t="s">
        <v>26</v>
      </c>
      <c r="B32" s="86">
        <f>B39/$B$6</f>
        <v>166.00000000000003</v>
      </c>
      <c r="C32" s="86">
        <f>C39/1.5</f>
        <v>165.4852651218151</v>
      </c>
      <c r="D32" s="86">
        <f>D39/$D$6</f>
        <v>165.4384612977195</v>
      </c>
      <c r="E32" s="85">
        <f t="shared" si="2"/>
        <v>164.69285914170067</v>
      </c>
      <c r="F32" s="92">
        <f t="shared" si="13"/>
        <v>164.69285914170067</v>
      </c>
      <c r="G32" s="109">
        <v>958</v>
      </c>
      <c r="H32" s="110" t="s">
        <v>133</v>
      </c>
      <c r="I32" s="111">
        <f t="shared" si="3"/>
        <v>0.012</v>
      </c>
      <c r="J32" s="112">
        <f t="shared" si="14"/>
        <v>78.97135962967562</v>
      </c>
      <c r="K32" s="113">
        <f t="shared" si="4"/>
        <v>119.52182859999999</v>
      </c>
      <c r="L32" s="114">
        <f t="shared" si="15"/>
        <v>0.6607275052155254</v>
      </c>
      <c r="M32" s="97">
        <f t="shared" si="20"/>
        <v>6.607275052155254</v>
      </c>
      <c r="N32" s="175">
        <f t="shared" si="6"/>
        <v>5.762243179865223</v>
      </c>
      <c r="O32" s="94" t="e">
        <f t="shared" si="21"/>
        <v>#N/A</v>
      </c>
      <c r="P32" s="94" t="e">
        <f t="shared" si="21"/>
        <v>#N/A</v>
      </c>
      <c r="Q32" s="94">
        <f t="shared" si="21"/>
        <v>5.762243179865223</v>
      </c>
      <c r="R32" s="94" t="e">
        <f t="shared" si="21"/>
        <v>#N/A</v>
      </c>
      <c r="S32" s="66"/>
      <c r="T32" s="175">
        <v>4.896236559139785</v>
      </c>
      <c r="U32" s="175">
        <v>6.56</v>
      </c>
      <c r="V32" s="175">
        <v>5.714285714285714</v>
      </c>
      <c r="W32" s="186">
        <v>486</v>
      </c>
      <c r="X32" s="187" t="s">
        <v>134</v>
      </c>
      <c r="Y32" s="111">
        <f t="shared" si="8"/>
        <v>0.01</v>
      </c>
      <c r="Z32" s="112">
        <f t="shared" si="17"/>
        <v>81.29636490030495</v>
      </c>
      <c r="AA32" s="113">
        <f t="shared" si="9"/>
        <v>133.5832202</v>
      </c>
      <c r="AB32" s="114">
        <f t="shared" si="16"/>
        <v>0.6085821615812863</v>
      </c>
      <c r="AC32" s="97">
        <f t="shared" si="10"/>
        <v>6.085821615812863</v>
      </c>
      <c r="AD32" s="175">
        <f t="shared" si="11"/>
        <v>4.1193681058633524</v>
      </c>
      <c r="AE32" s="94" t="e">
        <f t="shared" si="22"/>
        <v>#N/A</v>
      </c>
      <c r="AF32" s="94" t="e">
        <f t="shared" si="22"/>
        <v>#N/A</v>
      </c>
      <c r="AG32" s="94">
        <f t="shared" si="22"/>
        <v>4.1193681058633524</v>
      </c>
      <c r="AH32" s="94" t="e">
        <f t="shared" si="22"/>
        <v>#N/A</v>
      </c>
      <c r="AI32" s="66"/>
      <c r="AJ32" s="175">
        <v>3.55</v>
      </c>
      <c r="AK32" s="175">
        <v>4.898076923076923</v>
      </c>
      <c r="AL32" s="175">
        <v>4.266666666666667</v>
      </c>
      <c r="AM32" s="157" t="s">
        <v>26</v>
      </c>
      <c r="AN32" s="206" t="s">
        <v>93</v>
      </c>
      <c r="AO32" s="36" t="s">
        <v>84</v>
      </c>
      <c r="AP32" s="170">
        <v>0.018</v>
      </c>
      <c r="AQ32" s="208"/>
      <c r="AR32" s="209">
        <v>8.535</v>
      </c>
      <c r="AS32" s="210">
        <v>120</v>
      </c>
      <c r="AT32" s="211">
        <f t="shared" si="18"/>
        <v>84.3683496</v>
      </c>
      <c r="AU32" s="205">
        <f t="shared" si="19"/>
        <v>0.45719999999999994</v>
      </c>
      <c r="AV32" s="68"/>
      <c r="AW32" s="68"/>
      <c r="AX32" s="68"/>
      <c r="BC32" s="99"/>
    </row>
    <row r="33" spans="1:55" ht="15" customHeight="1">
      <c r="A33" s="3" t="s">
        <v>27</v>
      </c>
      <c r="B33" s="86">
        <f>B45/2</f>
        <v>173.45451660325944</v>
      </c>
      <c r="C33" s="86">
        <f>C45/2</f>
        <v>173.45451660325944</v>
      </c>
      <c r="D33" s="86">
        <f>D45/2</f>
        <v>174.28907856879073</v>
      </c>
      <c r="E33" s="85">
        <f t="shared" si="2"/>
        <v>174.48600616514574</v>
      </c>
      <c r="F33" s="92">
        <f t="shared" si="13"/>
        <v>174.48600616514574</v>
      </c>
      <c r="G33" s="109">
        <v>920</v>
      </c>
      <c r="H33" s="110" t="s">
        <v>133</v>
      </c>
      <c r="I33" s="111">
        <f t="shared" si="3"/>
        <v>0.012</v>
      </c>
      <c r="J33" s="112">
        <f t="shared" si="14"/>
        <v>81.74965296070756</v>
      </c>
      <c r="K33" s="113">
        <f t="shared" si="4"/>
        <v>119.52182859999999</v>
      </c>
      <c r="L33" s="114">
        <f t="shared" si="15"/>
        <v>0.6839725757066234</v>
      </c>
      <c r="M33" s="97">
        <f t="shared" si="20"/>
        <v>6.839725757066234</v>
      </c>
      <c r="N33" s="175">
        <f t="shared" si="6"/>
        <v>5.964964797847698</v>
      </c>
      <c r="O33" s="94" t="e">
        <f t="shared" si="21"/>
        <v>#N/A</v>
      </c>
      <c r="P33" s="94" t="e">
        <f t="shared" si="21"/>
        <v>#N/A</v>
      </c>
      <c r="Q33" s="94">
        <f t="shared" si="21"/>
        <v>5.964964797847698</v>
      </c>
      <c r="R33" s="94" t="e">
        <f t="shared" si="21"/>
        <v>#N/A</v>
      </c>
      <c r="S33" s="66"/>
      <c r="T33" s="175">
        <v>4.835483870967742</v>
      </c>
      <c r="U33" s="175">
        <v>6.49</v>
      </c>
      <c r="V33" s="175">
        <v>5.63</v>
      </c>
      <c r="W33" s="186">
        <v>464</v>
      </c>
      <c r="X33" s="187" t="s">
        <v>134</v>
      </c>
      <c r="Y33" s="111">
        <f t="shared" si="8"/>
        <v>0.01</v>
      </c>
      <c r="Z33" s="112">
        <f t="shared" si="17"/>
        <v>83.1775675039154</v>
      </c>
      <c r="AA33" s="113">
        <f t="shared" si="9"/>
        <v>133.5832202</v>
      </c>
      <c r="AB33" s="114">
        <f t="shared" si="16"/>
        <v>0.6226647881326894</v>
      </c>
      <c r="AC33" s="97">
        <f t="shared" si="10"/>
        <v>6.226647881326894</v>
      </c>
      <c r="AD33" s="175">
        <f t="shared" si="11"/>
        <v>4.214690522990897</v>
      </c>
      <c r="AE33" s="94" t="e">
        <f t="shared" si="22"/>
        <v>#N/A</v>
      </c>
      <c r="AF33" s="94" t="e">
        <f t="shared" si="22"/>
        <v>#N/A</v>
      </c>
      <c r="AG33" s="94">
        <f t="shared" si="22"/>
        <v>4.214690522990897</v>
      </c>
      <c r="AH33" s="94" t="e">
        <f t="shared" si="22"/>
        <v>#N/A</v>
      </c>
      <c r="AI33" s="66"/>
      <c r="AJ33" s="175">
        <v>3.5142857142857142</v>
      </c>
      <c r="AK33" s="175">
        <v>4.8307692307692305</v>
      </c>
      <c r="AL33" s="175">
        <v>4.222222222222222</v>
      </c>
      <c r="AM33" s="157"/>
      <c r="AN33" s="206" t="s">
        <v>94</v>
      </c>
      <c r="AO33" s="36" t="s">
        <v>84</v>
      </c>
      <c r="AP33" s="170">
        <v>0.016</v>
      </c>
      <c r="AQ33" s="208"/>
      <c r="AR33" s="209">
        <v>8.535</v>
      </c>
      <c r="AS33" s="210">
        <v>120</v>
      </c>
      <c r="AT33" s="211">
        <f t="shared" si="18"/>
        <v>84.3683496</v>
      </c>
      <c r="AU33" s="205">
        <f t="shared" si="19"/>
        <v>0.4064</v>
      </c>
      <c r="AV33" s="68"/>
      <c r="AW33" s="68"/>
      <c r="AX33" s="68"/>
      <c r="BC33" s="99"/>
    </row>
    <row r="34" spans="1:55" ht="15" customHeight="1">
      <c r="A34" s="3" t="s">
        <v>28</v>
      </c>
      <c r="B34" s="86">
        <f>B41/$B$6</f>
        <v>185.59364213248256</v>
      </c>
      <c r="C34" s="86">
        <f>C41/$B$6</f>
        <v>185.59364213248256</v>
      </c>
      <c r="D34" s="86">
        <f>D41/$D$6</f>
        <v>185.27946653441336</v>
      </c>
      <c r="E34" s="85">
        <f t="shared" si="2"/>
        <v>184.86148401412035</v>
      </c>
      <c r="F34" s="92">
        <f t="shared" si="13"/>
        <v>184.86148401412035</v>
      </c>
      <c r="G34" s="109">
        <v>883</v>
      </c>
      <c r="H34" s="110" t="s">
        <v>133</v>
      </c>
      <c r="I34" s="111">
        <f t="shared" si="3"/>
        <v>0.012</v>
      </c>
      <c r="J34" s="112">
        <f t="shared" si="14"/>
        <v>84.52853383256445</v>
      </c>
      <c r="K34" s="113">
        <f t="shared" si="4"/>
        <v>119.52182859999999</v>
      </c>
      <c r="L34" s="114">
        <f t="shared" si="15"/>
        <v>0.7072225619594014</v>
      </c>
      <c r="M34" s="97">
        <f t="shared" si="20"/>
        <v>7.072225619594014</v>
      </c>
      <c r="N34" s="175">
        <f t="shared" si="6"/>
        <v>6.167729286475017</v>
      </c>
      <c r="O34" s="94" t="e">
        <f t="shared" si="21"/>
        <v>#N/A</v>
      </c>
      <c r="P34" s="94" t="e">
        <f t="shared" si="21"/>
        <v>#N/A</v>
      </c>
      <c r="Q34" s="94">
        <f t="shared" si="21"/>
        <v>6.167729286475017</v>
      </c>
      <c r="R34" s="94" t="e">
        <f t="shared" si="21"/>
        <v>#N/A</v>
      </c>
      <c r="S34" s="66"/>
      <c r="T34" s="175">
        <v>4.7747311827956995</v>
      </c>
      <c r="U34" s="175">
        <v>6.41</v>
      </c>
      <c r="V34" s="175">
        <v>5.53</v>
      </c>
      <c r="W34" s="186">
        <v>442</v>
      </c>
      <c r="X34" s="187" t="s">
        <v>134</v>
      </c>
      <c r="Y34" s="111">
        <f t="shared" si="8"/>
        <v>0.01</v>
      </c>
      <c r="Z34" s="112">
        <f t="shared" si="17"/>
        <v>84.72009985348066</v>
      </c>
      <c r="AA34" s="113">
        <f t="shared" si="9"/>
        <v>133.5832202</v>
      </c>
      <c r="AB34" s="114">
        <f t="shared" si="16"/>
        <v>0.6342121392689758</v>
      </c>
      <c r="AC34" s="97">
        <f t="shared" si="10"/>
        <v>6.342121392689758</v>
      </c>
      <c r="AD34" s="175">
        <f t="shared" si="11"/>
        <v>4.292852179675719</v>
      </c>
      <c r="AE34" s="94" t="e">
        <f t="shared" si="22"/>
        <v>#N/A</v>
      </c>
      <c r="AF34" s="94" t="e">
        <f t="shared" si="22"/>
        <v>#N/A</v>
      </c>
      <c r="AG34" s="94">
        <f t="shared" si="22"/>
        <v>4.292852179675719</v>
      </c>
      <c r="AH34" s="94" t="e">
        <f t="shared" si="22"/>
        <v>#N/A</v>
      </c>
      <c r="AI34" s="66"/>
      <c r="AJ34" s="175">
        <v>3.4785714285714286</v>
      </c>
      <c r="AK34" s="175">
        <v>4.763461538461538</v>
      </c>
      <c r="AL34" s="175">
        <v>4.177777777777778</v>
      </c>
      <c r="AM34" s="157" t="s">
        <v>28</v>
      </c>
      <c r="AN34" s="206" t="s">
        <v>95</v>
      </c>
      <c r="AO34" s="36" t="s">
        <v>84</v>
      </c>
      <c r="AP34" s="170">
        <v>0.014</v>
      </c>
      <c r="AQ34" s="208"/>
      <c r="AR34" s="209">
        <v>8.535</v>
      </c>
      <c r="AS34" s="210">
        <v>125</v>
      </c>
      <c r="AT34" s="211">
        <f t="shared" si="18"/>
        <v>87.8836975</v>
      </c>
      <c r="AU34" s="205">
        <f t="shared" si="19"/>
        <v>0.35559999999999997</v>
      </c>
      <c r="AV34" s="68"/>
      <c r="AW34" s="68"/>
      <c r="AX34" s="68"/>
      <c r="BC34" s="99"/>
    </row>
    <row r="35" spans="1:55" ht="15" customHeight="1">
      <c r="A35" s="3" t="s">
        <v>29</v>
      </c>
      <c r="B35" s="86">
        <f aca="true" t="shared" si="23" ref="B35:D36">B47/2</f>
        <v>193.92804506462699</v>
      </c>
      <c r="C35" s="86">
        <f t="shared" si="23"/>
        <v>195.13633117866686</v>
      </c>
      <c r="D35" s="86">
        <f t="shared" si="23"/>
        <v>196.07521338988957</v>
      </c>
      <c r="E35" s="85">
        <f t="shared" si="2"/>
        <v>195.8539198814514</v>
      </c>
      <c r="F35" s="92">
        <f t="shared" si="13"/>
        <v>195.8539198814514</v>
      </c>
      <c r="G35" s="109">
        <v>846</v>
      </c>
      <c r="H35" s="110" t="s">
        <v>131</v>
      </c>
      <c r="I35" s="111">
        <f t="shared" si="3"/>
        <v>0.011</v>
      </c>
      <c r="J35" s="112">
        <f t="shared" si="14"/>
        <v>87.09522009133677</v>
      </c>
      <c r="K35" s="113">
        <f t="shared" si="4"/>
        <v>126.5525244</v>
      </c>
      <c r="L35" s="114">
        <f t="shared" si="15"/>
        <v>0.6882140084069059</v>
      </c>
      <c r="M35" s="97">
        <f t="shared" si="20"/>
        <v>6.882140084069059</v>
      </c>
      <c r="N35" s="175">
        <f t="shared" si="6"/>
        <v>5.339974295670231</v>
      </c>
      <c r="O35" s="94" t="e">
        <f t="shared" si="21"/>
        <v>#N/A</v>
      </c>
      <c r="P35" s="94" t="e">
        <f t="shared" si="21"/>
        <v>#N/A</v>
      </c>
      <c r="Q35" s="94">
        <f t="shared" si="21"/>
        <v>5.339974295670231</v>
      </c>
      <c r="R35" s="94" t="e">
        <f t="shared" si="21"/>
        <v>#N/A</v>
      </c>
      <c r="S35" s="66"/>
      <c r="T35" s="175">
        <v>4.713978494623656</v>
      </c>
      <c r="U35" s="175">
        <v>6.32</v>
      </c>
      <c r="V35" s="175">
        <v>5.35</v>
      </c>
      <c r="W35" s="186">
        <v>421</v>
      </c>
      <c r="X35" s="187" t="s">
        <v>134</v>
      </c>
      <c r="Y35" s="111">
        <f t="shared" si="8"/>
        <v>0.01</v>
      </c>
      <c r="Z35" s="112">
        <f t="shared" si="17"/>
        <v>86.27357166366899</v>
      </c>
      <c r="AA35" s="113">
        <f t="shared" si="9"/>
        <v>133.5832202</v>
      </c>
      <c r="AB35" s="114">
        <f t="shared" si="16"/>
        <v>0.6458413828810289</v>
      </c>
      <c r="AC35" s="97">
        <f t="shared" si="10"/>
        <v>6.458413828810289</v>
      </c>
      <c r="AD35" s="175">
        <f t="shared" si="11"/>
        <v>4.371568149769772</v>
      </c>
      <c r="AE35" s="94" t="e">
        <f t="shared" si="22"/>
        <v>#N/A</v>
      </c>
      <c r="AF35" s="94" t="e">
        <f t="shared" si="22"/>
        <v>#N/A</v>
      </c>
      <c r="AG35" s="94">
        <f t="shared" si="22"/>
        <v>4.371568149769772</v>
      </c>
      <c r="AH35" s="94" t="e">
        <f t="shared" si="22"/>
        <v>#N/A</v>
      </c>
      <c r="AI35" s="66"/>
      <c r="AJ35" s="175">
        <v>3.442857142857143</v>
      </c>
      <c r="AK35" s="175">
        <v>4.6961538461538455</v>
      </c>
      <c r="AL35" s="175">
        <v>4.133333333333334</v>
      </c>
      <c r="AM35" s="190"/>
      <c r="AN35" s="206" t="s">
        <v>96</v>
      </c>
      <c r="AO35" s="36" t="s">
        <v>84</v>
      </c>
      <c r="AP35" s="170">
        <v>0.013</v>
      </c>
      <c r="AQ35" s="208"/>
      <c r="AR35" s="209">
        <v>8.535</v>
      </c>
      <c r="AS35" s="210">
        <v>125</v>
      </c>
      <c r="AT35" s="211">
        <f t="shared" si="18"/>
        <v>87.8836975</v>
      </c>
      <c r="AU35" s="205">
        <f t="shared" si="19"/>
        <v>0.3302</v>
      </c>
      <c r="AV35" s="68"/>
      <c r="AW35" s="68"/>
      <c r="AX35" s="68"/>
      <c r="BC35" s="99"/>
    </row>
    <row r="36" spans="1:55" ht="15" customHeight="1">
      <c r="A36" s="3" t="s">
        <v>30</v>
      </c>
      <c r="B36" s="86">
        <f t="shared" si="23"/>
        <v>207.5</v>
      </c>
      <c r="C36" s="86">
        <f t="shared" si="23"/>
        <v>207.5</v>
      </c>
      <c r="D36" s="86">
        <f t="shared" si="23"/>
        <v>207.5</v>
      </c>
      <c r="E36" s="85">
        <f t="shared" si="2"/>
        <v>207.5</v>
      </c>
      <c r="F36" s="92">
        <f t="shared" si="13"/>
        <v>207.5</v>
      </c>
      <c r="G36" s="109">
        <v>809</v>
      </c>
      <c r="H36" s="110" t="s">
        <v>131</v>
      </c>
      <c r="I36" s="111">
        <f t="shared" si="3"/>
        <v>0.011</v>
      </c>
      <c r="J36" s="112">
        <f t="shared" si="14"/>
        <v>89.39686808416225</v>
      </c>
      <c r="K36" s="113">
        <f t="shared" si="4"/>
        <v>126.5525244</v>
      </c>
      <c r="L36" s="114">
        <f t="shared" si="15"/>
        <v>0.7064013026054047</v>
      </c>
      <c r="M36" s="97">
        <f t="shared" si="20"/>
        <v>7.064013026054047</v>
      </c>
      <c r="N36" s="175">
        <f t="shared" si="6"/>
        <v>5.481092730258027</v>
      </c>
      <c r="O36" s="94" t="e">
        <f t="shared" si="21"/>
        <v>#N/A</v>
      </c>
      <c r="P36" s="94" t="e">
        <f t="shared" si="21"/>
        <v>#N/A</v>
      </c>
      <c r="Q36" s="94">
        <f t="shared" si="21"/>
        <v>5.481092730258027</v>
      </c>
      <c r="R36" s="94" t="e">
        <f t="shared" si="21"/>
        <v>#N/A</v>
      </c>
      <c r="S36" s="66"/>
      <c r="T36" s="175">
        <v>4.653225806451613</v>
      </c>
      <c r="U36" s="175">
        <v>6.22</v>
      </c>
      <c r="V36" s="175">
        <v>5.21</v>
      </c>
      <c r="W36" s="186">
        <v>400</v>
      </c>
      <c r="X36" s="187" t="s">
        <v>135</v>
      </c>
      <c r="Y36" s="111">
        <f t="shared" si="8"/>
        <v>0.009</v>
      </c>
      <c r="Z36" s="112">
        <f t="shared" si="17"/>
        <v>87.41887934693878</v>
      </c>
      <c r="AA36" s="113">
        <f t="shared" si="9"/>
        <v>140.613916</v>
      </c>
      <c r="AB36" s="114">
        <f t="shared" si="16"/>
        <v>0.6216943659185111</v>
      </c>
      <c r="AC36" s="97">
        <f t="shared" si="10"/>
        <v>6.2169436591851115</v>
      </c>
      <c r="AD36" s="175">
        <f t="shared" si="11"/>
        <v>3.5879776486648747</v>
      </c>
      <c r="AE36" s="94" t="e">
        <f t="shared" si="22"/>
        <v>#N/A</v>
      </c>
      <c r="AF36" s="94" t="e">
        <f t="shared" si="22"/>
        <v>#N/A</v>
      </c>
      <c r="AG36" s="94">
        <f t="shared" si="22"/>
        <v>3.5879776486648747</v>
      </c>
      <c r="AH36" s="94" t="e">
        <f t="shared" si="22"/>
        <v>#N/A</v>
      </c>
      <c r="AI36" s="66"/>
      <c r="AJ36" s="175">
        <v>3.407142857142857</v>
      </c>
      <c r="AK36" s="175">
        <v>4.628846153846154</v>
      </c>
      <c r="AL36" s="175">
        <v>4.088888888888889</v>
      </c>
      <c r="AM36" s="157" t="s">
        <v>30</v>
      </c>
      <c r="AN36" s="206" t="s">
        <v>97</v>
      </c>
      <c r="AO36" s="36" t="s">
        <v>84</v>
      </c>
      <c r="AP36" s="170">
        <v>0.012</v>
      </c>
      <c r="AQ36" s="208"/>
      <c r="AR36" s="209">
        <v>8.535</v>
      </c>
      <c r="AS36" s="210">
        <v>125</v>
      </c>
      <c r="AT36" s="211">
        <f t="shared" si="18"/>
        <v>87.8836975</v>
      </c>
      <c r="AU36" s="205">
        <f t="shared" si="19"/>
        <v>0.3048</v>
      </c>
      <c r="AV36" s="68"/>
      <c r="AW36" s="68"/>
      <c r="AX36" s="68"/>
      <c r="BC36" s="99"/>
    </row>
    <row r="37" spans="1:55" ht="15" customHeight="1">
      <c r="A37" s="3" t="s">
        <v>31</v>
      </c>
      <c r="B37" s="86">
        <f>B44/$B$6</f>
        <v>222.02178125217216</v>
      </c>
      <c r="C37" s="86">
        <f>C44/$C$6</f>
        <v>220.36682499629336</v>
      </c>
      <c r="D37" s="86">
        <f>D44/1.5</f>
        <v>220.584615063626</v>
      </c>
      <c r="E37" s="85">
        <f t="shared" si="2"/>
        <v>219.83859207955373</v>
      </c>
      <c r="F37" s="92">
        <f t="shared" si="13"/>
        <v>219.83859207955373</v>
      </c>
      <c r="G37" s="109">
        <v>771</v>
      </c>
      <c r="H37" s="110" t="s">
        <v>131</v>
      </c>
      <c r="I37" s="111">
        <f t="shared" si="3"/>
        <v>0.011</v>
      </c>
      <c r="J37" s="112">
        <f t="shared" si="14"/>
        <v>91.13929879135497</v>
      </c>
      <c r="K37" s="113">
        <f t="shared" si="4"/>
        <v>126.5525244</v>
      </c>
      <c r="L37" s="114">
        <f t="shared" si="15"/>
        <v>0.7201697415634878</v>
      </c>
      <c r="M37" s="97">
        <f t="shared" si="20"/>
        <v>7.201697415634878</v>
      </c>
      <c r="N37" s="175">
        <f t="shared" si="6"/>
        <v>5.5879244849586645</v>
      </c>
      <c r="O37" s="94" t="e">
        <f t="shared" si="21"/>
        <v>#N/A</v>
      </c>
      <c r="P37" s="94" t="e">
        <f t="shared" si="21"/>
        <v>#N/A</v>
      </c>
      <c r="Q37" s="94">
        <f t="shared" si="21"/>
        <v>5.5879244849586645</v>
      </c>
      <c r="R37" s="94" t="e">
        <f t="shared" si="21"/>
        <v>#N/A</v>
      </c>
      <c r="S37" s="66"/>
      <c r="T37" s="175">
        <v>4.59247311827957</v>
      </c>
      <c r="U37" s="175">
        <v>6.12</v>
      </c>
      <c r="V37" s="175">
        <v>5.15</v>
      </c>
      <c r="W37" s="186">
        <v>379</v>
      </c>
      <c r="X37" s="187" t="s">
        <v>135</v>
      </c>
      <c r="Y37" s="111">
        <f t="shared" si="8"/>
        <v>0.009</v>
      </c>
      <c r="Z37" s="112">
        <f t="shared" si="17"/>
        <v>88.09177037040864</v>
      </c>
      <c r="AA37" s="113">
        <f t="shared" si="9"/>
        <v>140.613916</v>
      </c>
      <c r="AB37" s="114">
        <f t="shared" si="16"/>
        <v>0.6264797459336006</v>
      </c>
      <c r="AC37" s="97">
        <f t="shared" si="10"/>
        <v>6.264797459336005</v>
      </c>
      <c r="AD37" s="175">
        <f t="shared" si="11"/>
        <v>3.6155954581155703</v>
      </c>
      <c r="AE37" s="94" t="e">
        <f t="shared" si="22"/>
        <v>#N/A</v>
      </c>
      <c r="AF37" s="94" t="e">
        <f t="shared" si="22"/>
        <v>#N/A</v>
      </c>
      <c r="AG37" s="94">
        <f t="shared" si="22"/>
        <v>3.6155954581155703</v>
      </c>
      <c r="AH37" s="94" t="e">
        <f t="shared" si="22"/>
        <v>#N/A</v>
      </c>
      <c r="AI37" s="66"/>
      <c r="AJ37" s="175">
        <v>3.3714285714285714</v>
      </c>
      <c r="AK37" s="175">
        <v>4.561538461538461</v>
      </c>
      <c r="AL37" s="175">
        <v>4.044444444444444</v>
      </c>
      <c r="AM37" s="157"/>
      <c r="AN37" s="212" t="s">
        <v>107</v>
      </c>
      <c r="AO37" s="71" t="s">
        <v>84</v>
      </c>
      <c r="AP37" s="214">
        <v>0.011</v>
      </c>
      <c r="AQ37" s="215"/>
      <c r="AR37" s="216">
        <v>8.535</v>
      </c>
      <c r="AS37" s="217">
        <v>130</v>
      </c>
      <c r="AT37" s="218">
        <f t="shared" si="18"/>
        <v>91.39904539999999</v>
      </c>
      <c r="AU37" s="205">
        <f t="shared" si="19"/>
        <v>0.2794</v>
      </c>
      <c r="AV37" s="68"/>
      <c r="AW37" s="68"/>
      <c r="AX37" s="68"/>
      <c r="BC37" s="99"/>
    </row>
    <row r="38" spans="1:55" ht="15" customHeight="1">
      <c r="A38" s="3" t="s">
        <v>32</v>
      </c>
      <c r="B38" s="86">
        <f>B31*$B$6</f>
        <v>231.99205266560315</v>
      </c>
      <c r="C38" s="86">
        <f>C31*$B$6</f>
        <v>231.99205266560315</v>
      </c>
      <c r="D38" s="86">
        <f>D31*$D$6</f>
        <v>232.38543809172097</v>
      </c>
      <c r="E38" s="85">
        <f t="shared" si="2"/>
        <v>232.91087502419487</v>
      </c>
      <c r="F38" s="92">
        <f t="shared" si="13"/>
        <v>232.91087502419487</v>
      </c>
      <c r="G38" s="109">
        <v>736</v>
      </c>
      <c r="H38" s="110" t="s">
        <v>131</v>
      </c>
      <c r="I38" s="111">
        <f t="shared" si="3"/>
        <v>0.011</v>
      </c>
      <c r="J38" s="112">
        <f t="shared" si="14"/>
        <v>93.22324611982333</v>
      </c>
      <c r="K38" s="113">
        <f t="shared" si="4"/>
        <v>126.5525244</v>
      </c>
      <c r="L38" s="114">
        <f t="shared" si="15"/>
        <v>0.7366367961587919</v>
      </c>
      <c r="M38" s="97">
        <f t="shared" si="20"/>
        <v>7.366367961587919</v>
      </c>
      <c r="N38" s="175">
        <f t="shared" si="6"/>
        <v>5.715695276006456</v>
      </c>
      <c r="O38" s="94" t="e">
        <f t="shared" si="21"/>
        <v>#N/A</v>
      </c>
      <c r="P38" s="94" t="e">
        <f t="shared" si="21"/>
        <v>#N/A</v>
      </c>
      <c r="Q38" s="94">
        <f t="shared" si="21"/>
        <v>5.715695276006456</v>
      </c>
      <c r="R38" s="94" t="e">
        <f t="shared" si="21"/>
        <v>#N/A</v>
      </c>
      <c r="S38" s="66"/>
      <c r="T38" s="175">
        <v>4.531720430107527</v>
      </c>
      <c r="U38" s="175">
        <v>6.02</v>
      </c>
      <c r="V38" s="175">
        <v>5.13</v>
      </c>
      <c r="W38" s="186">
        <v>359</v>
      </c>
      <c r="X38" s="187" t="s">
        <v>135</v>
      </c>
      <c r="Y38" s="111">
        <f t="shared" si="8"/>
        <v>0.009</v>
      </c>
      <c r="Z38" s="112">
        <f t="shared" si="17"/>
        <v>88.71917225284255</v>
      </c>
      <c r="AA38" s="113">
        <f t="shared" si="9"/>
        <v>140.613916</v>
      </c>
      <c r="AB38" s="114">
        <f t="shared" si="16"/>
        <v>0.6309416221140058</v>
      </c>
      <c r="AC38" s="97">
        <f t="shared" si="10"/>
        <v>6.309416221140058</v>
      </c>
      <c r="AD38" s="175">
        <f t="shared" si="11"/>
        <v>3.641346233551265</v>
      </c>
      <c r="AE38" s="94" t="e">
        <f t="shared" si="22"/>
        <v>#N/A</v>
      </c>
      <c r="AF38" s="94" t="e">
        <f t="shared" si="22"/>
        <v>#N/A</v>
      </c>
      <c r="AG38" s="94">
        <f t="shared" si="22"/>
        <v>3.641346233551265</v>
      </c>
      <c r="AH38" s="94" t="e">
        <f t="shared" si="22"/>
        <v>#N/A</v>
      </c>
      <c r="AI38" s="66"/>
      <c r="AJ38" s="175">
        <v>3.335714285714286</v>
      </c>
      <c r="AK38" s="175">
        <v>4.494230769230769</v>
      </c>
      <c r="AL38" s="175">
        <v>3.99</v>
      </c>
      <c r="AM38" s="157" t="s">
        <v>32</v>
      </c>
      <c r="AN38" s="206" t="s">
        <v>136</v>
      </c>
      <c r="AO38" s="207" t="s">
        <v>114</v>
      </c>
      <c r="AP38" s="170">
        <v>0.014</v>
      </c>
      <c r="AQ38" s="219"/>
      <c r="AR38" s="209">
        <v>7.7724</v>
      </c>
      <c r="AS38" s="210">
        <v>170</v>
      </c>
      <c r="AT38" s="211">
        <f t="shared" si="18"/>
        <v>119.52182859999999</v>
      </c>
      <c r="AU38" s="205">
        <f t="shared" si="19"/>
        <v>0.35559999999999997</v>
      </c>
      <c r="AV38" s="68"/>
      <c r="AW38" s="68"/>
      <c r="AX38" s="68"/>
      <c r="BC38" s="99"/>
    </row>
    <row r="39" spans="1:55" ht="15" customHeight="1">
      <c r="A39" s="3" t="s">
        <v>33</v>
      </c>
      <c r="B39" s="86">
        <f>B46/$B$6</f>
        <v>248.22789768272264</v>
      </c>
      <c r="C39" s="86">
        <f>C46/$B$6</f>
        <v>248.22789768272264</v>
      </c>
      <c r="D39" s="86">
        <f>D46/$D$6</f>
        <v>247.59785884985217</v>
      </c>
      <c r="E39" s="85">
        <f t="shared" si="2"/>
        <v>246.7604763630646</v>
      </c>
      <c r="F39" s="92">
        <f t="shared" si="13"/>
        <v>246.7604763630646</v>
      </c>
      <c r="G39" s="109">
        <v>702</v>
      </c>
      <c r="H39" s="110" t="s">
        <v>131</v>
      </c>
      <c r="I39" s="111">
        <f t="shared" si="3"/>
        <v>0.011</v>
      </c>
      <c r="J39" s="112">
        <f t="shared" si="14"/>
        <v>95.1950755615514</v>
      </c>
      <c r="K39" s="113">
        <f t="shared" si="4"/>
        <v>126.5525244</v>
      </c>
      <c r="L39" s="114">
        <f t="shared" si="15"/>
        <v>0.7522179112023419</v>
      </c>
      <c r="M39" s="97">
        <f t="shared" si="20"/>
        <v>7.522179112023419</v>
      </c>
      <c r="N39" s="175">
        <f t="shared" si="6"/>
        <v>5.836591905273038</v>
      </c>
      <c r="O39" s="94" t="e">
        <f t="shared" si="21"/>
        <v>#N/A</v>
      </c>
      <c r="P39" s="94" t="e">
        <f t="shared" si="21"/>
        <v>#N/A</v>
      </c>
      <c r="Q39" s="94">
        <f t="shared" si="21"/>
        <v>5.836591905273038</v>
      </c>
      <c r="R39" s="94" t="e">
        <f t="shared" si="21"/>
        <v>#N/A</v>
      </c>
      <c r="S39" s="66"/>
      <c r="T39" s="175">
        <v>4.4709677419354845</v>
      </c>
      <c r="U39" s="175">
        <v>5.92</v>
      </c>
      <c r="V39" s="175">
        <v>5.11</v>
      </c>
      <c r="W39" s="186">
        <v>340</v>
      </c>
      <c r="X39" s="187" t="s">
        <v>135</v>
      </c>
      <c r="Y39" s="111">
        <f t="shared" si="8"/>
        <v>0.009</v>
      </c>
      <c r="Z39" s="112">
        <f t="shared" si="17"/>
        <v>89.32192705347637</v>
      </c>
      <c r="AA39" s="113">
        <f t="shared" si="9"/>
        <v>140.613916</v>
      </c>
      <c r="AB39" s="114">
        <f t="shared" si="16"/>
        <v>0.6352282163415204</v>
      </c>
      <c r="AC39" s="97">
        <f t="shared" si="10"/>
        <v>6.352282163415204</v>
      </c>
      <c r="AD39" s="175">
        <f t="shared" si="11"/>
        <v>3.6660854062386274</v>
      </c>
      <c r="AE39" s="94" t="e">
        <f t="shared" si="22"/>
        <v>#N/A</v>
      </c>
      <c r="AF39" s="94" t="e">
        <f t="shared" si="22"/>
        <v>#N/A</v>
      </c>
      <c r="AG39" s="94">
        <f t="shared" si="22"/>
        <v>3.6660854062386274</v>
      </c>
      <c r="AH39" s="94" t="e">
        <f t="shared" si="22"/>
        <v>#N/A</v>
      </c>
      <c r="AI39" s="66"/>
      <c r="AJ39" s="175">
        <v>3.29</v>
      </c>
      <c r="AK39" s="175">
        <v>4.426923076923076</v>
      </c>
      <c r="AL39" s="175">
        <v>3.933333333333333</v>
      </c>
      <c r="AM39" s="157"/>
      <c r="AN39" s="206" t="s">
        <v>132</v>
      </c>
      <c r="AO39" s="207" t="s">
        <v>114</v>
      </c>
      <c r="AP39" s="170">
        <v>0.013</v>
      </c>
      <c r="AQ39" s="219"/>
      <c r="AR39" s="209">
        <v>7.7724</v>
      </c>
      <c r="AS39" s="210">
        <v>170</v>
      </c>
      <c r="AT39" s="211">
        <f t="shared" si="18"/>
        <v>119.52182859999999</v>
      </c>
      <c r="AU39" s="205">
        <f t="shared" si="19"/>
        <v>0.3302</v>
      </c>
      <c r="AV39" s="68"/>
      <c r="AW39" s="68"/>
      <c r="AX39" s="68"/>
      <c r="BC39" s="99"/>
    </row>
    <row r="40" spans="1:55" ht="15" customHeight="1">
      <c r="A40" s="3" t="s">
        <v>34</v>
      </c>
      <c r="B40" s="86">
        <f>B33*$B$6</f>
        <v>259.37499999999994</v>
      </c>
      <c r="C40" s="86">
        <f>C33*1.5</f>
        <v>260.18177490488915</v>
      </c>
      <c r="D40" s="86">
        <f>D33*1.5</f>
        <v>261.4336178531861</v>
      </c>
      <c r="E40" s="85">
        <f t="shared" si="2"/>
        <v>261.43361785318615</v>
      </c>
      <c r="F40" s="92">
        <f t="shared" si="13"/>
        <v>261.43361785318615</v>
      </c>
      <c r="G40" s="109">
        <v>668</v>
      </c>
      <c r="H40" s="110" t="s">
        <v>134</v>
      </c>
      <c r="I40" s="111">
        <f aca="true" t="shared" si="24" ref="I40:I68">VLOOKUP($H40,$AN$24:$AT$47,3)</f>
        <v>0.01</v>
      </c>
      <c r="J40" s="112">
        <f t="shared" si="14"/>
        <v>96.75309124766994</v>
      </c>
      <c r="K40" s="113">
        <f aca="true" t="shared" si="25" ref="K40:K68">VLOOKUP($H40,$AN$24:$AT$47,7)</f>
        <v>133.5832202</v>
      </c>
      <c r="L40" s="114">
        <f t="shared" si="15"/>
        <v>0.7242907537549387</v>
      </c>
      <c r="M40" s="97">
        <f t="shared" si="20"/>
        <v>7.242907537549387</v>
      </c>
      <c r="N40" s="175">
        <f aca="true" t="shared" si="26" ref="N40:N68">506.71*$J40*$I40^2</f>
        <v>4.902575886610684</v>
      </c>
      <c r="O40" s="94" t="e">
        <f t="shared" si="21"/>
        <v>#N/A</v>
      </c>
      <c r="P40" s="94" t="e">
        <f t="shared" si="21"/>
        <v>#N/A</v>
      </c>
      <c r="Q40" s="94">
        <f t="shared" si="21"/>
        <v>4.902575886610684</v>
      </c>
      <c r="R40" s="94" t="e">
        <f t="shared" si="21"/>
        <v>#N/A</v>
      </c>
      <c r="S40" s="66"/>
      <c r="T40" s="175">
        <v>4.393548387096774</v>
      </c>
      <c r="U40" s="175">
        <v>5.82</v>
      </c>
      <c r="V40" s="175">
        <v>5.08</v>
      </c>
      <c r="W40" s="186">
        <v>322</v>
      </c>
      <c r="X40" s="187" t="s">
        <v>135</v>
      </c>
      <c r="Y40" s="111">
        <f aca="true" t="shared" si="27" ref="Y40:Y68">VLOOKUP($X40,$AN$24:$AT$47,3)</f>
        <v>0.009</v>
      </c>
      <c r="Z40" s="112">
        <f t="shared" si="17"/>
        <v>89.9256652526391</v>
      </c>
      <c r="AA40" s="113">
        <f aca="true" t="shared" si="28" ref="AA40:AA68">VLOOKUP($X40,$AN$24:$AT$47,7)</f>
        <v>140.613916</v>
      </c>
      <c r="AB40" s="114">
        <f t="shared" si="16"/>
        <v>0.6395218041764736</v>
      </c>
      <c r="AC40" s="97">
        <f aca="true" t="shared" si="29" ref="AC40:AC68">AB40*10</f>
        <v>6.395218041764736</v>
      </c>
      <c r="AD40" s="175">
        <f aca="true" t="shared" si="30" ref="AD40:AD68">506.71*$Z40*$Y40^2</f>
        <v>3.690864941053345</v>
      </c>
      <c r="AE40" s="94" t="e">
        <f t="shared" si="22"/>
        <v>#N/A</v>
      </c>
      <c r="AF40" s="94" t="e">
        <f t="shared" si="22"/>
        <v>#N/A</v>
      </c>
      <c r="AG40" s="94">
        <f t="shared" si="22"/>
        <v>3.690864941053345</v>
      </c>
      <c r="AH40" s="94" t="e">
        <f t="shared" si="22"/>
        <v>#N/A</v>
      </c>
      <c r="AI40" s="66"/>
      <c r="AJ40" s="175">
        <v>3.245</v>
      </c>
      <c r="AK40" s="175">
        <v>4.359615384615385</v>
      </c>
      <c r="AL40" s="175">
        <v>3.8666666666666667</v>
      </c>
      <c r="AM40" s="157" t="s">
        <v>34</v>
      </c>
      <c r="AN40" s="206" t="s">
        <v>133</v>
      </c>
      <c r="AO40" s="207" t="s">
        <v>114</v>
      </c>
      <c r="AP40" s="170">
        <v>0.012</v>
      </c>
      <c r="AQ40" s="219"/>
      <c r="AR40" s="209">
        <v>7.7724</v>
      </c>
      <c r="AS40" s="210">
        <v>170</v>
      </c>
      <c r="AT40" s="211">
        <f t="shared" si="18"/>
        <v>119.52182859999999</v>
      </c>
      <c r="AU40" s="205">
        <f t="shared" si="19"/>
        <v>0.3048</v>
      </c>
      <c r="AV40" s="68"/>
      <c r="AW40" s="68"/>
      <c r="AX40" s="68"/>
      <c r="BC40" s="99"/>
    </row>
    <row r="41" spans="1:55" ht="15" customHeight="1">
      <c r="A41" s="3" t="s">
        <v>35</v>
      </c>
      <c r="B41" s="86">
        <f>B48/$B$6</f>
        <v>277.52722656521513</v>
      </c>
      <c r="C41" s="86">
        <f>C48/$B$6</f>
        <v>277.52722656521513</v>
      </c>
      <c r="D41" s="86">
        <f>D48/$D$6</f>
        <v>277.2922260211807</v>
      </c>
      <c r="E41" s="85">
        <f t="shared" si="2"/>
        <v>276.97926974028206</v>
      </c>
      <c r="F41" s="92">
        <f t="shared" si="13"/>
        <v>276.97926974028206</v>
      </c>
      <c r="G41" s="109">
        <v>634</v>
      </c>
      <c r="H41" s="110" t="s">
        <v>134</v>
      </c>
      <c r="I41" s="111">
        <f t="shared" si="24"/>
        <v>0.01</v>
      </c>
      <c r="J41" s="112">
        <f t="shared" si="14"/>
        <v>97.82775929847413</v>
      </c>
      <c r="K41" s="113">
        <f t="shared" si="25"/>
        <v>133.5832202</v>
      </c>
      <c r="L41" s="114">
        <f t="shared" si="15"/>
        <v>0.7323356867127997</v>
      </c>
      <c r="M41" s="97">
        <f t="shared" si="20"/>
        <v>7.3233568671279965</v>
      </c>
      <c r="N41" s="175">
        <f t="shared" si="26"/>
        <v>4.957030391412983</v>
      </c>
      <c r="O41" s="94" t="e">
        <f t="shared" si="21"/>
        <v>#N/A</v>
      </c>
      <c r="P41" s="94" t="e">
        <f t="shared" si="21"/>
        <v>#N/A</v>
      </c>
      <c r="Q41" s="94">
        <f t="shared" si="21"/>
        <v>4.957030391412983</v>
      </c>
      <c r="R41" s="94" t="e">
        <f t="shared" si="21"/>
        <v>#N/A</v>
      </c>
      <c r="S41" s="66"/>
      <c r="T41" s="175">
        <v>4.316129032258065</v>
      </c>
      <c r="U41" s="175">
        <v>5.72</v>
      </c>
      <c r="V41" s="175">
        <v>5.03</v>
      </c>
      <c r="W41" s="186">
        <v>304</v>
      </c>
      <c r="X41" s="187" t="s">
        <v>135</v>
      </c>
      <c r="Y41" s="111">
        <f t="shared" si="27"/>
        <v>0.009</v>
      </c>
      <c r="Z41" s="112">
        <f t="shared" si="17"/>
        <v>89.96855579543815</v>
      </c>
      <c r="AA41" s="113">
        <f t="shared" si="28"/>
        <v>140.613916</v>
      </c>
      <c r="AB41" s="114">
        <f t="shared" si="16"/>
        <v>0.6398268276337469</v>
      </c>
      <c r="AC41" s="97">
        <f t="shared" si="29"/>
        <v>6.398268276337468</v>
      </c>
      <c r="AD41" s="175">
        <f t="shared" si="30"/>
        <v>3.692625319475623</v>
      </c>
      <c r="AE41" s="94" t="e">
        <f t="shared" si="22"/>
        <v>#N/A</v>
      </c>
      <c r="AF41" s="94" t="e">
        <f t="shared" si="22"/>
        <v>#N/A</v>
      </c>
      <c r="AG41" s="94">
        <f t="shared" si="22"/>
        <v>3.692625319475623</v>
      </c>
      <c r="AH41" s="94" t="e">
        <f t="shared" si="22"/>
        <v>#N/A</v>
      </c>
      <c r="AI41" s="66"/>
      <c r="AJ41" s="175">
        <v>3.2</v>
      </c>
      <c r="AK41" s="175">
        <v>4.292307692307692</v>
      </c>
      <c r="AL41" s="175">
        <v>3.8</v>
      </c>
      <c r="AM41" s="157"/>
      <c r="AN41" s="206" t="s">
        <v>131</v>
      </c>
      <c r="AO41" s="207" t="s">
        <v>114</v>
      </c>
      <c r="AP41" s="170">
        <v>0.011</v>
      </c>
      <c r="AQ41" s="219"/>
      <c r="AR41" s="209">
        <v>7.7724</v>
      </c>
      <c r="AS41" s="210">
        <v>180</v>
      </c>
      <c r="AT41" s="211">
        <f t="shared" si="18"/>
        <v>126.5525244</v>
      </c>
      <c r="AU41" s="205">
        <f t="shared" si="19"/>
        <v>0.2794</v>
      </c>
      <c r="AV41" s="68"/>
      <c r="AW41" s="68"/>
      <c r="AX41" s="68"/>
      <c r="BC41" s="99"/>
    </row>
    <row r="42" spans="1:55" ht="15" customHeight="1">
      <c r="A42" s="3" t="s">
        <v>36</v>
      </c>
      <c r="B42" s="86">
        <f>2*B30</f>
        <v>296.94982741197214</v>
      </c>
      <c r="C42" s="86">
        <f>C35*$C$6</f>
        <v>293.07666887285023</v>
      </c>
      <c r="D42" s="86">
        <f>2*D30</f>
        <v>294.11282008483465</v>
      </c>
      <c r="E42" s="85">
        <f t="shared" si="2"/>
        <v>293.4493141924172</v>
      </c>
      <c r="F42" s="92">
        <f t="shared" si="13"/>
        <v>293.4493141924172</v>
      </c>
      <c r="G42" s="109">
        <v>602</v>
      </c>
      <c r="H42" s="110" t="s">
        <v>134</v>
      </c>
      <c r="I42" s="111">
        <f t="shared" si="24"/>
        <v>0.01</v>
      </c>
      <c r="J42" s="112">
        <f t="shared" si="14"/>
        <v>99.0029735964</v>
      </c>
      <c r="K42" s="113">
        <f t="shared" si="25"/>
        <v>133.5832202</v>
      </c>
      <c r="L42" s="114">
        <f t="shared" si="15"/>
        <v>0.7411333058760924</v>
      </c>
      <c r="M42" s="97">
        <f t="shared" si="20"/>
        <v>7.411333058760924</v>
      </c>
      <c r="N42" s="175">
        <f t="shared" si="26"/>
        <v>5.016579675103184</v>
      </c>
      <c r="O42" s="94" t="e">
        <f t="shared" si="21"/>
        <v>#N/A</v>
      </c>
      <c r="P42" s="94" t="e">
        <f t="shared" si="21"/>
        <v>#N/A</v>
      </c>
      <c r="Q42" s="94">
        <f t="shared" si="21"/>
        <v>5.016579675103184</v>
      </c>
      <c r="R42" s="94" t="e">
        <f t="shared" si="21"/>
        <v>#N/A</v>
      </c>
      <c r="S42" s="66"/>
      <c r="T42" s="175">
        <v>4.2387096774193544</v>
      </c>
      <c r="U42" s="175">
        <v>5.62</v>
      </c>
      <c r="V42" s="175">
        <v>4.978388868228099</v>
      </c>
      <c r="W42" s="186">
        <v>287</v>
      </c>
      <c r="X42" s="187" t="s">
        <v>135</v>
      </c>
      <c r="Y42" s="111">
        <f t="shared" si="27"/>
        <v>0.009</v>
      </c>
      <c r="Z42" s="112">
        <f t="shared" si="17"/>
        <v>90.0075709116</v>
      </c>
      <c r="AA42" s="113">
        <f t="shared" si="28"/>
        <v>140.613916</v>
      </c>
      <c r="AB42" s="114">
        <f t="shared" si="16"/>
        <v>0.640104290329273</v>
      </c>
      <c r="AC42" s="97">
        <f t="shared" si="29"/>
        <v>6.40104290329273</v>
      </c>
      <c r="AD42" s="175">
        <f t="shared" si="30"/>
        <v>3.6942266367859626</v>
      </c>
      <c r="AE42" s="94" t="e">
        <f t="shared" si="22"/>
        <v>#N/A</v>
      </c>
      <c r="AF42" s="94" t="e">
        <f t="shared" si="22"/>
        <v>#N/A</v>
      </c>
      <c r="AG42" s="94">
        <f t="shared" si="22"/>
        <v>3.6942266367859626</v>
      </c>
      <c r="AH42" s="94" t="e">
        <f t="shared" si="22"/>
        <v>#N/A</v>
      </c>
      <c r="AI42" s="66"/>
      <c r="AJ42" s="175">
        <v>3.15</v>
      </c>
      <c r="AK42" s="175">
        <v>4.225</v>
      </c>
      <c r="AL42" s="175">
        <v>3.7333333333333334</v>
      </c>
      <c r="AM42" s="157" t="s">
        <v>36</v>
      </c>
      <c r="AN42" s="206" t="s">
        <v>134</v>
      </c>
      <c r="AO42" s="207" t="s">
        <v>114</v>
      </c>
      <c r="AP42" s="170">
        <v>0.01</v>
      </c>
      <c r="AQ42" s="219"/>
      <c r="AR42" s="209">
        <v>7.7724</v>
      </c>
      <c r="AS42" s="210">
        <v>190</v>
      </c>
      <c r="AT42" s="211">
        <f t="shared" si="18"/>
        <v>133.5832202</v>
      </c>
      <c r="AU42" s="205">
        <f t="shared" si="19"/>
        <v>0.254</v>
      </c>
      <c r="AV42" s="68"/>
      <c r="AW42" s="68"/>
      <c r="AX42" s="68"/>
      <c r="BC42" s="99"/>
    </row>
    <row r="43" spans="1:55" ht="15" customHeight="1">
      <c r="A43" s="3" t="s">
        <v>37</v>
      </c>
      <c r="B43" s="86">
        <f>B36*$B$6</f>
        <v>310.28487210340325</v>
      </c>
      <c r="C43" s="86">
        <f>C36*$B$6</f>
        <v>310.28487210340325</v>
      </c>
      <c r="D43" s="86">
        <f>D36*$D$6</f>
        <v>310.54783336559314</v>
      </c>
      <c r="E43" s="85">
        <f t="shared" si="2"/>
        <v>310.8987184519114</v>
      </c>
      <c r="F43" s="92">
        <f t="shared" si="13"/>
        <v>310.8987184519114</v>
      </c>
      <c r="G43" s="109">
        <v>571</v>
      </c>
      <c r="H43" s="110" t="s">
        <v>134</v>
      </c>
      <c r="I43" s="111">
        <f t="shared" si="24"/>
        <v>0.01</v>
      </c>
      <c r="J43" s="112">
        <f t="shared" si="14"/>
        <v>99.97677857762899</v>
      </c>
      <c r="K43" s="113">
        <f t="shared" si="25"/>
        <v>133.5832202</v>
      </c>
      <c r="L43" s="114">
        <f t="shared" si="15"/>
        <v>0.7484231809050894</v>
      </c>
      <c r="M43" s="97">
        <f t="shared" si="20"/>
        <v>7.484231809050894</v>
      </c>
      <c r="N43" s="175">
        <f t="shared" si="26"/>
        <v>5.065923347307038</v>
      </c>
      <c r="O43" s="94" t="e">
        <f t="shared" si="21"/>
        <v>#N/A</v>
      </c>
      <c r="P43" s="94" t="e">
        <f t="shared" si="21"/>
        <v>#N/A</v>
      </c>
      <c r="Q43" s="94">
        <f t="shared" si="21"/>
        <v>5.065923347307038</v>
      </c>
      <c r="R43" s="94" t="e">
        <f t="shared" si="21"/>
        <v>#N/A</v>
      </c>
      <c r="S43" s="66"/>
      <c r="T43" s="175">
        <v>4.161290322580645</v>
      </c>
      <c r="U43" s="175">
        <v>5.52</v>
      </c>
      <c r="V43" s="175">
        <v>4.924836527686075</v>
      </c>
      <c r="W43" s="186">
        <v>271</v>
      </c>
      <c r="X43" s="187" t="s">
        <v>135</v>
      </c>
      <c r="Y43" s="111">
        <f t="shared" si="27"/>
        <v>0.009</v>
      </c>
      <c r="Z43" s="112">
        <f t="shared" si="17"/>
        <v>90.07940222879516</v>
      </c>
      <c r="AA43" s="113">
        <f t="shared" si="28"/>
        <v>140.613916</v>
      </c>
      <c r="AB43" s="114">
        <f t="shared" si="16"/>
        <v>0.6406151310713455</v>
      </c>
      <c r="AC43" s="97">
        <f t="shared" si="29"/>
        <v>6.4061513107134544</v>
      </c>
      <c r="AD43" s="175">
        <f t="shared" si="30"/>
        <v>3.6971748461715754</v>
      </c>
      <c r="AE43" s="94" t="e">
        <f t="shared" si="22"/>
        <v>#N/A</v>
      </c>
      <c r="AF43" s="94" t="e">
        <f t="shared" si="22"/>
        <v>#N/A</v>
      </c>
      <c r="AG43" s="94">
        <f t="shared" si="22"/>
        <v>3.6971748461715754</v>
      </c>
      <c r="AH43" s="94" t="e">
        <f t="shared" si="22"/>
        <v>#N/A</v>
      </c>
      <c r="AI43" s="66"/>
      <c r="AJ43" s="175">
        <v>3.1</v>
      </c>
      <c r="AK43" s="175">
        <v>4.157692307692307</v>
      </c>
      <c r="AL43" s="175">
        <v>3.6666666666666665</v>
      </c>
      <c r="AM43" s="157"/>
      <c r="AN43" s="206" t="s">
        <v>135</v>
      </c>
      <c r="AO43" s="207" t="s">
        <v>114</v>
      </c>
      <c r="AP43" s="170">
        <v>0.009</v>
      </c>
      <c r="AQ43" s="219"/>
      <c r="AR43" s="209">
        <v>7.7724</v>
      </c>
      <c r="AS43" s="210">
        <v>200</v>
      </c>
      <c r="AT43" s="211">
        <f t="shared" si="18"/>
        <v>140.613916</v>
      </c>
      <c r="AU43" s="205">
        <f t="shared" si="19"/>
        <v>0.22859999999999997</v>
      </c>
      <c r="AV43" s="68"/>
      <c r="AW43" s="68"/>
      <c r="AX43" s="68"/>
      <c r="BC43" s="99"/>
    </row>
    <row r="44" spans="1:55" ht="15" customHeight="1">
      <c r="A44" s="3" t="s">
        <v>38</v>
      </c>
      <c r="B44" s="86">
        <f>2*B32</f>
        <v>332.00000000000006</v>
      </c>
      <c r="C44" s="86">
        <f>2*C32</f>
        <v>330.9705302436302</v>
      </c>
      <c r="D44" s="86">
        <f>2*D32</f>
        <v>330.876922595439</v>
      </c>
      <c r="E44" s="85">
        <f t="shared" si="2"/>
        <v>329.3857182834014</v>
      </c>
      <c r="F44" s="92">
        <f t="shared" si="13"/>
        <v>329.3857182834014</v>
      </c>
      <c r="G44" s="109">
        <v>541</v>
      </c>
      <c r="H44" s="110" t="s">
        <v>134</v>
      </c>
      <c r="I44" s="111">
        <f t="shared" si="24"/>
        <v>0.01</v>
      </c>
      <c r="J44" s="112">
        <f t="shared" si="14"/>
        <v>100.73795227432367</v>
      </c>
      <c r="K44" s="113">
        <f t="shared" si="25"/>
        <v>133.5832202</v>
      </c>
      <c r="L44" s="114">
        <f t="shared" si="15"/>
        <v>0.7541213044834479</v>
      </c>
      <c r="M44" s="97">
        <f t="shared" si="20"/>
        <v>7.541213044834479</v>
      </c>
      <c r="N44" s="175">
        <f t="shared" si="26"/>
        <v>5.104492779692254</v>
      </c>
      <c r="O44" s="94" t="e">
        <f t="shared" si="21"/>
        <v>#N/A</v>
      </c>
      <c r="P44" s="94" t="e">
        <f t="shared" si="21"/>
        <v>#N/A</v>
      </c>
      <c r="Q44" s="94">
        <f t="shared" si="21"/>
        <v>5.104492779692254</v>
      </c>
      <c r="R44" s="94" t="e">
        <f t="shared" si="21"/>
        <v>#N/A</v>
      </c>
      <c r="S44" s="66"/>
      <c r="T44" s="175">
        <v>4.083870967741936</v>
      </c>
      <c r="U44" s="175">
        <v>5.42</v>
      </c>
      <c r="V44" s="175">
        <v>4.855651188916661</v>
      </c>
      <c r="W44" s="186">
        <v>255</v>
      </c>
      <c r="X44" s="187" t="s">
        <v>135</v>
      </c>
      <c r="Y44" s="111">
        <f t="shared" si="27"/>
        <v>0.009</v>
      </c>
      <c r="Z44" s="112">
        <f t="shared" si="17"/>
        <v>89.52388910298785</v>
      </c>
      <c r="AA44" s="113">
        <f t="shared" si="28"/>
        <v>140.613916</v>
      </c>
      <c r="AB44" s="114">
        <f t="shared" si="16"/>
        <v>0.6366645041233889</v>
      </c>
      <c r="AC44" s="97">
        <f t="shared" si="29"/>
        <v>6.366645041233889</v>
      </c>
      <c r="AD44" s="175">
        <f t="shared" si="30"/>
        <v>3.6743746376373725</v>
      </c>
      <c r="AE44" s="94" t="e">
        <f t="shared" si="22"/>
        <v>#N/A</v>
      </c>
      <c r="AF44" s="94" t="e">
        <f t="shared" si="22"/>
        <v>#N/A</v>
      </c>
      <c r="AG44" s="94">
        <f t="shared" si="22"/>
        <v>3.6743746376373725</v>
      </c>
      <c r="AH44" s="94" t="e">
        <f t="shared" si="22"/>
        <v>#N/A</v>
      </c>
      <c r="AI44" s="66"/>
      <c r="AJ44" s="175">
        <v>3.05</v>
      </c>
      <c r="AK44" s="175">
        <v>4.090384615384615</v>
      </c>
      <c r="AL44" s="175">
        <v>3.6</v>
      </c>
      <c r="AM44" s="157" t="s">
        <v>39</v>
      </c>
      <c r="AN44" s="212" t="s">
        <v>137</v>
      </c>
      <c r="AO44" s="213" t="s">
        <v>114</v>
      </c>
      <c r="AP44" s="214">
        <v>0.008</v>
      </c>
      <c r="AQ44" s="220"/>
      <c r="AR44" s="216">
        <v>7.7724</v>
      </c>
      <c r="AS44" s="217">
        <v>210</v>
      </c>
      <c r="AT44" s="218">
        <f t="shared" si="18"/>
        <v>147.6446118</v>
      </c>
      <c r="AU44" s="205">
        <f t="shared" si="19"/>
        <v>0.2032</v>
      </c>
      <c r="AV44" s="68"/>
      <c r="AW44" s="68"/>
      <c r="AX44" s="68"/>
      <c r="BC44" s="99"/>
    </row>
    <row r="45" spans="1:55" ht="15" customHeight="1">
      <c r="A45" s="3" t="s">
        <v>40</v>
      </c>
      <c r="B45" s="86">
        <f>B38*$B$6</f>
        <v>346.90903320651887</v>
      </c>
      <c r="C45" s="86">
        <f>C38*$B$6</f>
        <v>346.90903320651887</v>
      </c>
      <c r="D45" s="86">
        <f>D38*1.5</f>
        <v>348.57815713758146</v>
      </c>
      <c r="E45" s="85">
        <f t="shared" si="2"/>
        <v>348.9720123302915</v>
      </c>
      <c r="F45" s="92">
        <f t="shared" si="13"/>
        <v>348.9720123302915</v>
      </c>
      <c r="G45" s="109">
        <v>512</v>
      </c>
      <c r="H45" s="110" t="s">
        <v>134</v>
      </c>
      <c r="I45" s="111">
        <f t="shared" si="24"/>
        <v>0.01</v>
      </c>
      <c r="J45" s="112">
        <f t="shared" si="14"/>
        <v>101.27684794769246</v>
      </c>
      <c r="K45" s="113">
        <f t="shared" si="25"/>
        <v>133.5832202</v>
      </c>
      <c r="L45" s="114">
        <f t="shared" si="15"/>
        <v>0.7581554614124542</v>
      </c>
      <c r="M45" s="97">
        <f t="shared" si="20"/>
        <v>7.581554614124542</v>
      </c>
      <c r="N45" s="175">
        <f t="shared" si="26"/>
        <v>5.131799162357525</v>
      </c>
      <c r="O45" s="94" t="e">
        <f t="shared" si="21"/>
        <v>#N/A</v>
      </c>
      <c r="P45" s="94" t="e">
        <f t="shared" si="21"/>
        <v>#N/A</v>
      </c>
      <c r="Q45" s="94">
        <f t="shared" si="21"/>
        <v>5.131799162357525</v>
      </c>
      <c r="R45" s="94" t="e">
        <f t="shared" si="21"/>
        <v>#N/A</v>
      </c>
      <c r="S45" s="66"/>
      <c r="T45" s="175">
        <v>4.006451612903226</v>
      </c>
      <c r="U45" s="175">
        <v>5.32</v>
      </c>
      <c r="V45" s="175">
        <v>4.763840051084974</v>
      </c>
      <c r="W45" s="186">
        <v>240</v>
      </c>
      <c r="X45" s="187" t="s">
        <v>135</v>
      </c>
      <c r="Y45" s="111">
        <f t="shared" si="27"/>
        <v>0.009</v>
      </c>
      <c r="Z45" s="112">
        <f t="shared" si="17"/>
        <v>89.01285464152659</v>
      </c>
      <c r="AA45" s="113">
        <f t="shared" si="28"/>
        <v>140.613916</v>
      </c>
      <c r="AB45" s="114">
        <f t="shared" si="16"/>
        <v>0.6330301948316879</v>
      </c>
      <c r="AC45" s="97">
        <f t="shared" si="29"/>
        <v>6.330301948316879</v>
      </c>
      <c r="AD45" s="175">
        <f t="shared" si="30"/>
        <v>3.653399989608042</v>
      </c>
      <c r="AE45" s="94" t="e">
        <f t="shared" si="22"/>
        <v>#N/A</v>
      </c>
      <c r="AF45" s="94" t="e">
        <f t="shared" si="22"/>
        <v>#N/A</v>
      </c>
      <c r="AG45" s="94">
        <f t="shared" si="22"/>
        <v>3.653399989608042</v>
      </c>
      <c r="AH45" s="94" t="e">
        <f t="shared" si="22"/>
        <v>#N/A</v>
      </c>
      <c r="AI45" s="66"/>
      <c r="AJ45" s="175">
        <v>3</v>
      </c>
      <c r="AK45" s="175">
        <v>4.023076923076923</v>
      </c>
      <c r="AL45" s="175">
        <v>3.533333333333333</v>
      </c>
      <c r="AM45" s="157"/>
      <c r="AN45" s="206" t="s">
        <v>139</v>
      </c>
      <c r="AO45" s="207" t="s">
        <v>115</v>
      </c>
      <c r="AP45" s="170">
        <v>0.009</v>
      </c>
      <c r="AQ45" s="219"/>
      <c r="AR45" s="209">
        <v>7.8478</v>
      </c>
      <c r="AS45" s="210">
        <v>380</v>
      </c>
      <c r="AT45" s="211">
        <f t="shared" si="18"/>
        <v>267.1664404</v>
      </c>
      <c r="AU45" s="205">
        <f t="shared" si="19"/>
        <v>0.22859999999999997</v>
      </c>
      <c r="AV45" s="68"/>
      <c r="AW45" s="68"/>
      <c r="AX45" s="68"/>
      <c r="BC45" s="99"/>
    </row>
    <row r="46" spans="1:55" ht="15" customHeight="1">
      <c r="A46" s="3" t="s">
        <v>41</v>
      </c>
      <c r="B46" s="86">
        <f>2*B34</f>
        <v>371.1872842649651</v>
      </c>
      <c r="C46" s="86">
        <f>2*C34</f>
        <v>371.1872842649651</v>
      </c>
      <c r="D46" s="86">
        <f>2*D34</f>
        <v>370.5589330688267</v>
      </c>
      <c r="E46" s="85">
        <f t="shared" si="2"/>
        <v>369.7229680282408</v>
      </c>
      <c r="F46" s="92">
        <f t="shared" si="13"/>
        <v>369.7229680282408</v>
      </c>
      <c r="G46" s="109">
        <v>484</v>
      </c>
      <c r="H46" s="110" t="s">
        <v>135</v>
      </c>
      <c r="I46" s="111">
        <f t="shared" si="24"/>
        <v>0.009</v>
      </c>
      <c r="J46" s="112">
        <f t="shared" si="14"/>
        <v>101.58571544029085</v>
      </c>
      <c r="K46" s="113">
        <f t="shared" si="25"/>
        <v>140.613916</v>
      </c>
      <c r="L46" s="114">
        <f t="shared" si="15"/>
        <v>0.7224442525325222</v>
      </c>
      <c r="M46" s="97">
        <f t="shared" si="20"/>
        <v>7.224442525325222</v>
      </c>
      <c r="N46" s="175">
        <f t="shared" si="26"/>
        <v>4.169434327530731</v>
      </c>
      <c r="O46" s="94" t="e">
        <f t="shared" si="21"/>
        <v>#N/A</v>
      </c>
      <c r="P46" s="94" t="e">
        <f t="shared" si="21"/>
        <v>#N/A</v>
      </c>
      <c r="Q46" s="94">
        <f t="shared" si="21"/>
        <v>4.169434327530731</v>
      </c>
      <c r="R46" s="94" t="e">
        <f t="shared" si="21"/>
        <v>#N/A</v>
      </c>
      <c r="S46" s="66"/>
      <c r="T46" s="175">
        <v>3.929032258064516</v>
      </c>
      <c r="U46" s="175">
        <v>5.22</v>
      </c>
      <c r="V46" s="175">
        <v>4.672028913253286</v>
      </c>
      <c r="W46" s="186">
        <v>226</v>
      </c>
      <c r="X46" s="187" t="s">
        <v>135</v>
      </c>
      <c r="Y46" s="111">
        <f t="shared" si="27"/>
        <v>0.009</v>
      </c>
      <c r="Z46" s="112">
        <f t="shared" si="17"/>
        <v>88.59695379120784</v>
      </c>
      <c r="AA46" s="113">
        <f t="shared" si="28"/>
        <v>140.613916</v>
      </c>
      <c r="AB46" s="114">
        <f t="shared" si="16"/>
        <v>0.6300724445453026</v>
      </c>
      <c r="AC46" s="97">
        <f t="shared" si="29"/>
        <v>6.300724445453026</v>
      </c>
      <c r="AD46" s="175">
        <f t="shared" si="30"/>
        <v>3.636329958898976</v>
      </c>
      <c r="AE46" s="94" t="e">
        <f t="shared" si="22"/>
        <v>#N/A</v>
      </c>
      <c r="AF46" s="94" t="e">
        <f t="shared" si="22"/>
        <v>#N/A</v>
      </c>
      <c r="AG46" s="94">
        <f t="shared" si="22"/>
        <v>3.636329958898976</v>
      </c>
      <c r="AH46" s="94" t="e">
        <f t="shared" si="22"/>
        <v>#N/A</v>
      </c>
      <c r="AI46" s="66"/>
      <c r="AJ46" s="175">
        <v>2.95</v>
      </c>
      <c r="AK46" s="175">
        <v>3.9557692307692305</v>
      </c>
      <c r="AL46" s="175">
        <v>3.4666666666666663</v>
      </c>
      <c r="AM46" s="157" t="s">
        <v>42</v>
      </c>
      <c r="AN46" s="206" t="s">
        <v>140</v>
      </c>
      <c r="AO46" s="207" t="s">
        <v>115</v>
      </c>
      <c r="AP46" s="170">
        <v>0.008</v>
      </c>
      <c r="AQ46" s="219"/>
      <c r="AR46" s="209">
        <v>7.8478</v>
      </c>
      <c r="AS46" s="210">
        <v>380</v>
      </c>
      <c r="AT46" s="211">
        <f t="shared" si="18"/>
        <v>267.1664404</v>
      </c>
      <c r="AU46" s="205">
        <f t="shared" si="19"/>
        <v>0.2032</v>
      </c>
      <c r="AV46" s="68"/>
      <c r="AW46" s="68"/>
      <c r="AX46" s="68"/>
      <c r="BC46" s="99"/>
    </row>
    <row r="47" spans="1:55" ht="15" customHeight="1">
      <c r="A47" s="3" t="s">
        <v>43</v>
      </c>
      <c r="B47" s="86">
        <f>B40*$B$6</f>
        <v>387.85609012925397</v>
      </c>
      <c r="C47" s="86">
        <f>C40*1.5</f>
        <v>390.27266235733373</v>
      </c>
      <c r="D47" s="86">
        <f>D40*1.5</f>
        <v>392.15042677977914</v>
      </c>
      <c r="E47" s="85">
        <f>$H$3*$E$6^(ROW()-48)</f>
        <v>391.7078397629028</v>
      </c>
      <c r="F47" s="92">
        <f t="shared" si="13"/>
        <v>391.7078397629028</v>
      </c>
      <c r="G47" s="109">
        <v>459</v>
      </c>
      <c r="H47" s="110" t="s">
        <v>135</v>
      </c>
      <c r="I47" s="111">
        <f t="shared" si="24"/>
        <v>0.009</v>
      </c>
      <c r="J47" s="112">
        <f t="shared" si="14"/>
        <v>102.55077748192257</v>
      </c>
      <c r="K47" s="113">
        <f t="shared" si="25"/>
        <v>140.613916</v>
      </c>
      <c r="L47" s="114">
        <f t="shared" si="15"/>
        <v>0.7293074568943985</v>
      </c>
      <c r="M47" s="97">
        <f t="shared" si="20"/>
        <v>7.293074568943984</v>
      </c>
      <c r="N47" s="175">
        <f t="shared" si="26"/>
        <v>4.209043861087063</v>
      </c>
      <c r="O47" s="94" t="e">
        <f t="shared" si="21"/>
        <v>#N/A</v>
      </c>
      <c r="P47" s="94" t="e">
        <f t="shared" si="21"/>
        <v>#N/A</v>
      </c>
      <c r="Q47" s="94">
        <f t="shared" si="21"/>
        <v>4.209043861087063</v>
      </c>
      <c r="R47" s="94" t="e">
        <f t="shared" si="21"/>
        <v>#N/A</v>
      </c>
      <c r="S47" s="66"/>
      <c r="T47" s="175">
        <v>3.8516129032258064</v>
      </c>
      <c r="U47" s="175">
        <v>5.12</v>
      </c>
      <c r="V47" s="175">
        <v>4.580217775421599</v>
      </c>
      <c r="W47" s="186">
        <v>212</v>
      </c>
      <c r="X47" s="187" t="s">
        <v>135</v>
      </c>
      <c r="Y47" s="111">
        <f t="shared" si="27"/>
        <v>0.009</v>
      </c>
      <c r="Z47" s="112">
        <f t="shared" si="17"/>
        <v>87.5075045808123</v>
      </c>
      <c r="AA47" s="113">
        <f t="shared" si="28"/>
        <v>140.613916</v>
      </c>
      <c r="AB47" s="114">
        <f t="shared" si="16"/>
        <v>0.622324639481716</v>
      </c>
      <c r="AC47" s="97">
        <f t="shared" si="29"/>
        <v>6.22324639481716</v>
      </c>
      <c r="AD47" s="175">
        <f t="shared" si="30"/>
        <v>3.591615139337615</v>
      </c>
      <c r="AE47" s="94" t="e">
        <f t="shared" si="22"/>
        <v>#N/A</v>
      </c>
      <c r="AF47" s="94" t="e">
        <f t="shared" si="22"/>
        <v>#N/A</v>
      </c>
      <c r="AG47" s="94">
        <f t="shared" si="22"/>
        <v>3.591615139337615</v>
      </c>
      <c r="AH47" s="94" t="e">
        <f t="shared" si="22"/>
        <v>#N/A</v>
      </c>
      <c r="AI47" s="66"/>
      <c r="AJ47" s="175">
        <v>2.9</v>
      </c>
      <c r="AK47" s="175">
        <v>3.888461538461538</v>
      </c>
      <c r="AL47" s="175">
        <v>3.4</v>
      </c>
      <c r="AM47" s="157"/>
      <c r="AN47" s="212" t="s">
        <v>141</v>
      </c>
      <c r="AO47" s="213" t="s">
        <v>115</v>
      </c>
      <c r="AP47" s="214">
        <v>0.007</v>
      </c>
      <c r="AQ47" s="220"/>
      <c r="AR47" s="216">
        <v>7.8478</v>
      </c>
      <c r="AS47" s="217">
        <v>400</v>
      </c>
      <c r="AT47" s="218">
        <f t="shared" si="18"/>
        <v>281.227832</v>
      </c>
      <c r="AU47" s="205">
        <f t="shared" si="19"/>
        <v>0.17779999999999999</v>
      </c>
      <c r="AV47" s="68"/>
      <c r="AW47" s="68"/>
      <c r="AX47" s="68"/>
      <c r="BC47" s="99"/>
    </row>
    <row r="48" spans="1:50" ht="15" customHeight="1">
      <c r="A48" s="3" t="s">
        <v>44</v>
      </c>
      <c r="B48" s="87">
        <f>$H$3</f>
        <v>415</v>
      </c>
      <c r="C48" s="87">
        <f>$H$3</f>
        <v>415</v>
      </c>
      <c r="D48" s="87">
        <f>$H$3</f>
        <v>415</v>
      </c>
      <c r="E48" s="87">
        <f>$H$3</f>
        <v>415</v>
      </c>
      <c r="F48" s="92">
        <f t="shared" si="13"/>
        <v>415</v>
      </c>
      <c r="G48" s="109">
        <v>434</v>
      </c>
      <c r="H48" s="110" t="s">
        <v>135</v>
      </c>
      <c r="I48" s="111">
        <f t="shared" si="24"/>
        <v>0.009</v>
      </c>
      <c r="J48" s="112">
        <f t="shared" si="14"/>
        <v>102.91169023920003</v>
      </c>
      <c r="K48" s="113">
        <f t="shared" si="25"/>
        <v>140.613916</v>
      </c>
      <c r="L48" s="114">
        <f t="shared" si="15"/>
        <v>0.7318741499184194</v>
      </c>
      <c r="M48" s="97">
        <f t="shared" si="20"/>
        <v>7.318741499184194</v>
      </c>
      <c r="N48" s="175">
        <f t="shared" si="26"/>
        <v>4.2238569874495075</v>
      </c>
      <c r="O48" s="94" t="e">
        <f aca="true" t="shared" si="31" ref="O48:R68">IF(LEFT($H48,2)=O$6,$N48,NA())</f>
        <v>#N/A</v>
      </c>
      <c r="P48" s="94" t="e">
        <f t="shared" si="31"/>
        <v>#N/A</v>
      </c>
      <c r="Q48" s="94">
        <f t="shared" si="31"/>
        <v>4.2238569874495075</v>
      </c>
      <c r="R48" s="94" t="e">
        <f t="shared" si="31"/>
        <v>#N/A</v>
      </c>
      <c r="S48" s="66"/>
      <c r="T48" s="175">
        <v>3.774193548387097</v>
      </c>
      <c r="U48" s="175">
        <v>5.02</v>
      </c>
      <c r="V48" s="175">
        <v>4.488406637589912</v>
      </c>
      <c r="W48" s="186">
        <v>200</v>
      </c>
      <c r="X48" s="187" t="s">
        <v>135</v>
      </c>
      <c r="Y48" s="111">
        <f t="shared" si="27"/>
        <v>0.009</v>
      </c>
      <c r="Z48" s="112">
        <f t="shared" si="17"/>
        <v>87.41887934693878</v>
      </c>
      <c r="AA48" s="113">
        <f t="shared" si="28"/>
        <v>140.613916</v>
      </c>
      <c r="AB48" s="114">
        <f t="shared" si="16"/>
        <v>0.6216943659185111</v>
      </c>
      <c r="AC48" s="97">
        <f t="shared" si="29"/>
        <v>6.2169436591851115</v>
      </c>
      <c r="AD48" s="175">
        <f t="shared" si="30"/>
        <v>3.5879776486648747</v>
      </c>
      <c r="AE48" s="94" t="e">
        <f aca="true" t="shared" si="32" ref="AE48:AH68">IF(LEFT($X48,2)=AE$6,$AD48,NA())</f>
        <v>#N/A</v>
      </c>
      <c r="AF48" s="94" t="e">
        <f t="shared" si="32"/>
        <v>#N/A</v>
      </c>
      <c r="AG48" s="94">
        <f t="shared" si="32"/>
        <v>3.5879776486648747</v>
      </c>
      <c r="AH48" s="94" t="e">
        <f t="shared" si="32"/>
        <v>#N/A</v>
      </c>
      <c r="AI48" s="66"/>
      <c r="AJ48" s="175">
        <v>2.85</v>
      </c>
      <c r="AK48" s="175">
        <v>3.821153846153846</v>
      </c>
      <c r="AL48" s="175">
        <v>3.3259222456675905</v>
      </c>
      <c r="AM48" s="157" t="s">
        <v>45</v>
      </c>
      <c r="AN48" s="64"/>
      <c r="AO48" s="36"/>
      <c r="AP48" s="29"/>
      <c r="AQ48" s="33"/>
      <c r="AR48" s="18"/>
      <c r="AS48" s="18"/>
      <c r="AT48" s="19"/>
      <c r="AU48" s="68"/>
      <c r="AV48" s="68"/>
      <c r="AW48" s="68"/>
      <c r="AX48" s="68"/>
    </row>
    <row r="49" spans="1:50" ht="15" customHeight="1">
      <c r="A49" s="3" t="s">
        <v>46</v>
      </c>
      <c r="B49" s="84">
        <f aca="true" t="shared" si="33" ref="B49:C68">2*B37</f>
        <v>444.0435625043443</v>
      </c>
      <c r="C49" s="84">
        <f t="shared" si="33"/>
        <v>440.7336499925867</v>
      </c>
      <c r="D49" s="84">
        <f aca="true" t="shared" si="34" ref="D49:D68">2*D37</f>
        <v>441.169230127252</v>
      </c>
      <c r="E49" s="85">
        <f aca="true" t="shared" si="35" ref="E49:E68">$H$3*$E$6^(ROW()-48)</f>
        <v>439.6771841591075</v>
      </c>
      <c r="F49" s="92">
        <f t="shared" si="13"/>
        <v>439.6771841591075</v>
      </c>
      <c r="G49" s="109">
        <v>410</v>
      </c>
      <c r="H49" s="110" t="s">
        <v>135</v>
      </c>
      <c r="I49" s="111">
        <f t="shared" si="24"/>
        <v>0.009</v>
      </c>
      <c r="J49" s="112">
        <f t="shared" si="14"/>
        <v>103.09192082529148</v>
      </c>
      <c r="K49" s="113">
        <f t="shared" si="25"/>
        <v>140.613916</v>
      </c>
      <c r="L49" s="114">
        <f t="shared" si="15"/>
        <v>0.7331558906679726</v>
      </c>
      <c r="M49" s="97">
        <f t="shared" si="20"/>
        <v>7.331558906679726</v>
      </c>
      <c r="N49" s="175">
        <f t="shared" si="26"/>
        <v>4.231254283312059</v>
      </c>
      <c r="O49" s="94" t="e">
        <f t="shared" si="31"/>
        <v>#N/A</v>
      </c>
      <c r="P49" s="94" t="e">
        <f t="shared" si="31"/>
        <v>#N/A</v>
      </c>
      <c r="Q49" s="94">
        <f t="shared" si="31"/>
        <v>4.231254283312059</v>
      </c>
      <c r="R49" s="94" t="e">
        <f t="shared" si="31"/>
        <v>#N/A</v>
      </c>
      <c r="S49" s="66"/>
      <c r="T49" s="175">
        <v>3.696774193548387</v>
      </c>
      <c r="U49" s="175">
        <v>4.923333333333332</v>
      </c>
      <c r="V49" s="175">
        <v>4.396595499758225</v>
      </c>
      <c r="W49" s="186">
        <v>188</v>
      </c>
      <c r="X49" s="187" t="s">
        <v>135</v>
      </c>
      <c r="Y49" s="111">
        <f t="shared" si="27"/>
        <v>0.009</v>
      </c>
      <c r="Z49" s="112">
        <f t="shared" si="17"/>
        <v>86.70269719569548</v>
      </c>
      <c r="AA49" s="113">
        <f t="shared" si="28"/>
        <v>140.613916</v>
      </c>
      <c r="AB49" s="114">
        <f t="shared" si="16"/>
        <v>0.6166011136173427</v>
      </c>
      <c r="AC49" s="97">
        <f t="shared" si="29"/>
        <v>6.166011136173427</v>
      </c>
      <c r="AD49" s="175">
        <f t="shared" si="30"/>
        <v>3.5585830193784984</v>
      </c>
      <c r="AE49" s="94" t="e">
        <f t="shared" si="32"/>
        <v>#N/A</v>
      </c>
      <c r="AF49" s="94" t="e">
        <f t="shared" si="32"/>
        <v>#N/A</v>
      </c>
      <c r="AG49" s="94">
        <f t="shared" si="32"/>
        <v>3.5585830193784984</v>
      </c>
      <c r="AH49" s="94" t="e">
        <f t="shared" si="32"/>
        <v>#N/A</v>
      </c>
      <c r="AI49" s="66"/>
      <c r="AJ49" s="175">
        <v>2.8</v>
      </c>
      <c r="AK49" s="175">
        <v>3.753846153846154</v>
      </c>
      <c r="AL49" s="175">
        <v>3.2518444913351816</v>
      </c>
      <c r="AM49" s="157"/>
      <c r="AN49" s="47"/>
      <c r="AO49" s="41"/>
      <c r="AQ49" s="43"/>
      <c r="AR49" s="40"/>
      <c r="AS49" s="40"/>
      <c r="AT49" s="42"/>
      <c r="AU49" s="68"/>
      <c r="AV49" s="68"/>
      <c r="AW49" s="68"/>
      <c r="AX49" s="68"/>
    </row>
    <row r="50" spans="1:50" ht="15" customHeight="1">
      <c r="A50" s="3" t="s">
        <v>47</v>
      </c>
      <c r="B50" s="84">
        <f t="shared" si="33"/>
        <v>463.9841053312063</v>
      </c>
      <c r="C50" s="84">
        <f t="shared" si="33"/>
        <v>463.9841053312063</v>
      </c>
      <c r="D50" s="84">
        <f t="shared" si="34"/>
        <v>464.77087618344194</v>
      </c>
      <c r="E50" s="85">
        <f t="shared" si="35"/>
        <v>465.8217500483898</v>
      </c>
      <c r="F50" s="92">
        <f t="shared" si="13"/>
        <v>465.8217500483898</v>
      </c>
      <c r="G50" s="109">
        <v>387</v>
      </c>
      <c r="H50" s="110" t="s">
        <v>135</v>
      </c>
      <c r="I50" s="111">
        <f t="shared" si="24"/>
        <v>0.009</v>
      </c>
      <c r="J50" s="112">
        <f t="shared" si="14"/>
        <v>103.09806495244436</v>
      </c>
      <c r="K50" s="113">
        <f t="shared" si="25"/>
        <v>140.613916</v>
      </c>
      <c r="L50" s="114">
        <f t="shared" si="15"/>
        <v>0.7331995856828593</v>
      </c>
      <c r="M50" s="97">
        <f t="shared" si="20"/>
        <v>7.331995856828593</v>
      </c>
      <c r="N50" s="175">
        <f t="shared" si="26"/>
        <v>4.231506459856298</v>
      </c>
      <c r="O50" s="94" t="e">
        <f t="shared" si="31"/>
        <v>#N/A</v>
      </c>
      <c r="P50" s="94" t="e">
        <f t="shared" si="31"/>
        <v>#N/A</v>
      </c>
      <c r="Q50" s="94">
        <f t="shared" si="31"/>
        <v>4.231506459856298</v>
      </c>
      <c r="R50" s="94" t="e">
        <f t="shared" si="31"/>
        <v>#N/A</v>
      </c>
      <c r="S50" s="66"/>
      <c r="T50" s="175">
        <v>3.6193548387096772</v>
      </c>
      <c r="U50" s="175">
        <v>4.816666666666665</v>
      </c>
      <c r="V50" s="175">
        <v>4.304784361926537</v>
      </c>
      <c r="W50" s="186">
        <v>176</v>
      </c>
      <c r="X50" s="187" t="s">
        <v>135</v>
      </c>
      <c r="Y50" s="111">
        <f t="shared" si="27"/>
        <v>0.009</v>
      </c>
      <c r="Z50" s="112">
        <f t="shared" si="17"/>
        <v>85.29310231000852</v>
      </c>
      <c r="AA50" s="113">
        <f t="shared" si="28"/>
        <v>140.613916</v>
      </c>
      <c r="AB50" s="114">
        <f t="shared" si="16"/>
        <v>0.6065765376309449</v>
      </c>
      <c r="AC50" s="97">
        <f t="shared" si="29"/>
        <v>6.065765376309448</v>
      </c>
      <c r="AD50" s="175">
        <f t="shared" si="30"/>
        <v>3.500728297591857</v>
      </c>
      <c r="AE50" s="94" t="e">
        <f t="shared" si="32"/>
        <v>#N/A</v>
      </c>
      <c r="AF50" s="94" t="e">
        <f t="shared" si="32"/>
        <v>#N/A</v>
      </c>
      <c r="AG50" s="94">
        <f t="shared" si="32"/>
        <v>3.500728297591857</v>
      </c>
      <c r="AH50" s="94" t="e">
        <f t="shared" si="32"/>
        <v>#N/A</v>
      </c>
      <c r="AI50" s="66"/>
      <c r="AJ50" s="175">
        <v>2.7716666666666665</v>
      </c>
      <c r="AK50" s="175">
        <v>3.6865384615384613</v>
      </c>
      <c r="AL50" s="175">
        <v>3.1777667370027722</v>
      </c>
      <c r="AM50" s="157" t="s">
        <v>77</v>
      </c>
      <c r="AN50" s="47"/>
      <c r="AO50" s="41"/>
      <c r="AQ50" s="43"/>
      <c r="AR50" s="40"/>
      <c r="AS50" s="40"/>
      <c r="AT50" s="42"/>
      <c r="AU50" s="67"/>
      <c r="AV50" s="67"/>
      <c r="AW50" s="67"/>
      <c r="AX50" s="67"/>
    </row>
    <row r="51" spans="1:50" ht="15" customHeight="1">
      <c r="A51" s="3" t="s">
        <v>48</v>
      </c>
      <c r="B51" s="84">
        <f t="shared" si="33"/>
        <v>496.4557953654453</v>
      </c>
      <c r="C51" s="84">
        <f t="shared" si="33"/>
        <v>496.4557953654453</v>
      </c>
      <c r="D51" s="84">
        <f t="shared" si="34"/>
        <v>495.19571769970435</v>
      </c>
      <c r="E51" s="85">
        <f t="shared" si="35"/>
        <v>493.52095272612934</v>
      </c>
      <c r="F51" s="92">
        <f t="shared" si="13"/>
        <v>493.52095272612934</v>
      </c>
      <c r="G51" s="109">
        <v>366</v>
      </c>
      <c r="H51" s="110" t="s">
        <v>135</v>
      </c>
      <c r="I51" s="111">
        <f t="shared" si="24"/>
        <v>0.009</v>
      </c>
      <c r="J51" s="112">
        <f t="shared" si="14"/>
        <v>103.50526003785022</v>
      </c>
      <c r="K51" s="113">
        <f t="shared" si="25"/>
        <v>140.613916</v>
      </c>
      <c r="L51" s="114">
        <f t="shared" si="15"/>
        <v>0.7360954234277227</v>
      </c>
      <c r="M51" s="97">
        <f t="shared" si="20"/>
        <v>7.360954234277227</v>
      </c>
      <c r="N51" s="175">
        <f t="shared" si="26"/>
        <v>4.248219175416105</v>
      </c>
      <c r="O51" s="94" t="e">
        <f t="shared" si="31"/>
        <v>#N/A</v>
      </c>
      <c r="P51" s="94" t="e">
        <f t="shared" si="31"/>
        <v>#N/A</v>
      </c>
      <c r="Q51" s="94">
        <f t="shared" si="31"/>
        <v>4.248219175416105</v>
      </c>
      <c r="R51" s="94" t="e">
        <f t="shared" si="31"/>
        <v>#N/A</v>
      </c>
      <c r="S51" s="66"/>
      <c r="T51" s="175">
        <v>3.541935483870968</v>
      </c>
      <c r="U51" s="175">
        <v>4.71</v>
      </c>
      <c r="V51" s="175">
        <v>4.21297322409485</v>
      </c>
      <c r="W51" s="186">
        <v>165</v>
      </c>
      <c r="X51" s="187" t="s">
        <v>135</v>
      </c>
      <c r="Y51" s="111">
        <f t="shared" si="27"/>
        <v>0.009</v>
      </c>
      <c r="Z51" s="112">
        <f t="shared" si="17"/>
        <v>84.14496415331817</v>
      </c>
      <c r="AA51" s="113">
        <f t="shared" si="28"/>
        <v>140.613916</v>
      </c>
      <c r="AB51" s="114">
        <f t="shared" si="16"/>
        <v>0.5984113560518305</v>
      </c>
      <c r="AC51" s="97">
        <f t="shared" si="29"/>
        <v>5.9841135605183045</v>
      </c>
      <c r="AD51" s="175">
        <f t="shared" si="30"/>
        <v>3.4536046776763554</v>
      </c>
      <c r="AE51" s="94" t="e">
        <f t="shared" si="32"/>
        <v>#N/A</v>
      </c>
      <c r="AF51" s="94" t="e">
        <f t="shared" si="32"/>
        <v>#N/A</v>
      </c>
      <c r="AG51" s="94">
        <f t="shared" si="32"/>
        <v>3.4536046776763554</v>
      </c>
      <c r="AH51" s="94" t="e">
        <f t="shared" si="32"/>
        <v>#N/A</v>
      </c>
      <c r="AI51" s="66"/>
      <c r="AJ51" s="175">
        <v>2.743333333333333</v>
      </c>
      <c r="AK51" s="175">
        <v>3.619230769230769</v>
      </c>
      <c r="AL51" s="175">
        <v>3.103688982670363</v>
      </c>
      <c r="AM51" s="157"/>
      <c r="AN51" s="47"/>
      <c r="AO51" s="41"/>
      <c r="AT51" s="42"/>
      <c r="AU51" s="69"/>
      <c r="AV51" s="69"/>
      <c r="AW51" s="69"/>
      <c r="AX51" s="69"/>
    </row>
    <row r="52" spans="1:50" ht="15" customHeight="1">
      <c r="A52" s="3" t="s">
        <v>49</v>
      </c>
      <c r="B52" s="84">
        <f t="shared" si="33"/>
        <v>518.7499999999999</v>
      </c>
      <c r="C52" s="84">
        <f t="shared" si="33"/>
        <v>520.3635498097783</v>
      </c>
      <c r="D52" s="84">
        <f t="shared" si="34"/>
        <v>522.8672357063722</v>
      </c>
      <c r="E52" s="85">
        <f t="shared" si="35"/>
        <v>522.8672357063724</v>
      </c>
      <c r="F52" s="92">
        <f t="shared" si="13"/>
        <v>522.8672357063724</v>
      </c>
      <c r="G52" s="109">
        <v>345</v>
      </c>
      <c r="H52" s="110" t="s">
        <v>135</v>
      </c>
      <c r="I52" s="111">
        <f t="shared" si="24"/>
        <v>0.009</v>
      </c>
      <c r="J52" s="112">
        <f t="shared" si="14"/>
        <v>103.2309932747133</v>
      </c>
      <c r="K52" s="113">
        <f t="shared" si="25"/>
        <v>140.613916</v>
      </c>
      <c r="L52" s="114">
        <f t="shared" si="15"/>
        <v>0.7341449282638093</v>
      </c>
      <c r="M52" s="97">
        <f t="shared" si="20"/>
        <v>7.341449282638093</v>
      </c>
      <c r="N52" s="175">
        <f t="shared" si="26"/>
        <v>4.2369623047806275</v>
      </c>
      <c r="O52" s="94" t="e">
        <f t="shared" si="31"/>
        <v>#N/A</v>
      </c>
      <c r="P52" s="94" t="e">
        <f t="shared" si="31"/>
        <v>#N/A</v>
      </c>
      <c r="Q52" s="94">
        <f t="shared" si="31"/>
        <v>4.2369623047806275</v>
      </c>
      <c r="R52" s="94" t="e">
        <f t="shared" si="31"/>
        <v>#N/A</v>
      </c>
      <c r="S52" s="66"/>
      <c r="T52" s="175">
        <v>3.464516129032258</v>
      </c>
      <c r="U52" s="175">
        <v>4.603333333333331</v>
      </c>
      <c r="V52" s="175">
        <v>4.121162086263163</v>
      </c>
      <c r="W52" s="186">
        <v>156</v>
      </c>
      <c r="X52" s="187" t="s">
        <v>135</v>
      </c>
      <c r="Y52" s="111">
        <f t="shared" si="27"/>
        <v>0.009</v>
      </c>
      <c r="Z52" s="112">
        <f t="shared" si="17"/>
        <v>84.42695071903962</v>
      </c>
      <c r="AA52" s="113">
        <f t="shared" si="28"/>
        <v>140.613916</v>
      </c>
      <c r="AB52" s="114">
        <f t="shared" si="16"/>
        <v>0.6004167519169271</v>
      </c>
      <c r="AC52" s="97">
        <f t="shared" si="29"/>
        <v>6.004167519169271</v>
      </c>
      <c r="AD52" s="175">
        <f t="shared" si="30"/>
        <v>3.4651783961064098</v>
      </c>
      <c r="AE52" s="94" t="e">
        <f t="shared" si="32"/>
        <v>#N/A</v>
      </c>
      <c r="AF52" s="94" t="e">
        <f t="shared" si="32"/>
        <v>#N/A</v>
      </c>
      <c r="AG52" s="94">
        <f t="shared" si="32"/>
        <v>3.4651783961064098</v>
      </c>
      <c r="AH52" s="94" t="e">
        <f t="shared" si="32"/>
        <v>#N/A</v>
      </c>
      <c r="AI52" s="66"/>
      <c r="AJ52" s="175">
        <v>2.715</v>
      </c>
      <c r="AK52" s="175">
        <v>3.5519230769230767</v>
      </c>
      <c r="AL52" s="175">
        <v>3.029611228337954</v>
      </c>
      <c r="AM52" s="157" t="s">
        <v>49</v>
      </c>
      <c r="AN52" s="6"/>
      <c r="AO52" s="6"/>
      <c r="AU52" s="6"/>
      <c r="AV52" s="6"/>
      <c r="AW52" s="6"/>
      <c r="AX52" s="6"/>
    </row>
    <row r="53" spans="1:50" ht="15" customHeight="1">
      <c r="A53" s="3" t="s">
        <v>50</v>
      </c>
      <c r="B53" s="84">
        <f t="shared" si="33"/>
        <v>555.0544531304303</v>
      </c>
      <c r="C53" s="84">
        <f t="shared" si="33"/>
        <v>555.0544531304303</v>
      </c>
      <c r="D53" s="84">
        <f t="shared" si="34"/>
        <v>554.5844520423614</v>
      </c>
      <c r="E53" s="85">
        <f t="shared" si="35"/>
        <v>553.9585394805642</v>
      </c>
      <c r="F53" s="92">
        <f t="shared" si="13"/>
        <v>553.9585394805642</v>
      </c>
      <c r="G53" s="109">
        <v>326</v>
      </c>
      <c r="H53" s="110" t="s">
        <v>135</v>
      </c>
      <c r="I53" s="111">
        <f t="shared" si="24"/>
        <v>0.009</v>
      </c>
      <c r="J53" s="112">
        <f t="shared" si="14"/>
        <v>103.46150272372739</v>
      </c>
      <c r="K53" s="113">
        <f t="shared" si="25"/>
        <v>140.613916</v>
      </c>
      <c r="L53" s="114">
        <f t="shared" si="15"/>
        <v>0.7357842357773992</v>
      </c>
      <c r="M53" s="97">
        <f t="shared" si="20"/>
        <v>7.3578423577739915</v>
      </c>
      <c r="N53" s="175">
        <f t="shared" si="26"/>
        <v>4.246423221656332</v>
      </c>
      <c r="O53" s="94" t="e">
        <f t="shared" si="31"/>
        <v>#N/A</v>
      </c>
      <c r="P53" s="94" t="e">
        <f t="shared" si="31"/>
        <v>#N/A</v>
      </c>
      <c r="Q53" s="94">
        <f t="shared" si="31"/>
        <v>4.246423221656332</v>
      </c>
      <c r="R53" s="94" t="e">
        <f t="shared" si="31"/>
        <v>#N/A</v>
      </c>
      <c r="S53" s="66"/>
      <c r="T53" s="175">
        <v>3.3870967741935485</v>
      </c>
      <c r="U53" s="175">
        <v>4.4966666666666635</v>
      </c>
      <c r="V53" s="175">
        <v>4.029350948431476</v>
      </c>
      <c r="W53" s="186">
        <v>147</v>
      </c>
      <c r="X53" s="110" t="s">
        <v>137</v>
      </c>
      <c r="Y53" s="111">
        <f t="shared" si="27"/>
        <v>0.008</v>
      </c>
      <c r="Z53" s="112">
        <f t="shared" si="17"/>
        <v>84.14692357096709</v>
      </c>
      <c r="AA53" s="113">
        <f t="shared" si="28"/>
        <v>147.6446118</v>
      </c>
      <c r="AB53" s="114">
        <f t="shared" si="16"/>
        <v>0.5699288483683567</v>
      </c>
      <c r="AC53" s="97">
        <f t="shared" si="29"/>
        <v>5.699288483683567</v>
      </c>
      <c r="AD53" s="175">
        <f t="shared" si="30"/>
        <v>2.728837609129263</v>
      </c>
      <c r="AE53" s="94" t="e">
        <f t="shared" si="32"/>
        <v>#N/A</v>
      </c>
      <c r="AF53" s="94" t="e">
        <f t="shared" si="32"/>
        <v>#N/A</v>
      </c>
      <c r="AG53" s="94">
        <f t="shared" si="32"/>
        <v>2.728837609129263</v>
      </c>
      <c r="AH53" s="94" t="e">
        <f t="shared" si="32"/>
        <v>#N/A</v>
      </c>
      <c r="AI53" s="66"/>
      <c r="AJ53" s="175">
        <v>2.6866666666666665</v>
      </c>
      <c r="AK53" s="175">
        <v>3.4846153846153842</v>
      </c>
      <c r="AL53" s="175">
        <v>2.9555334740055446</v>
      </c>
      <c r="AM53" s="157"/>
      <c r="AN53" s="6"/>
      <c r="AO53" s="6"/>
      <c r="AU53" s="50"/>
      <c r="AV53" s="50"/>
      <c r="AW53" s="50"/>
      <c r="AX53" s="50"/>
    </row>
    <row r="54" spans="1:44" ht="15" customHeight="1">
      <c r="A54" s="3" t="s">
        <v>51</v>
      </c>
      <c r="B54" s="84">
        <f t="shared" si="33"/>
        <v>593.8996548239443</v>
      </c>
      <c r="C54" s="84">
        <f t="shared" si="33"/>
        <v>586.1533377457005</v>
      </c>
      <c r="D54" s="84">
        <f t="shared" si="34"/>
        <v>588.2256401696693</v>
      </c>
      <c r="E54" s="85">
        <f t="shared" si="35"/>
        <v>586.8986283848345</v>
      </c>
      <c r="F54" s="92">
        <f t="shared" si="13"/>
        <v>586.8986283848345</v>
      </c>
      <c r="G54" s="109">
        <v>308</v>
      </c>
      <c r="H54" s="110" t="s">
        <v>135</v>
      </c>
      <c r="I54" s="111">
        <f t="shared" si="24"/>
        <v>0.009</v>
      </c>
      <c r="J54" s="112">
        <f t="shared" si="14"/>
        <v>103.66130712960002</v>
      </c>
      <c r="K54" s="113">
        <f t="shared" si="25"/>
        <v>140.613916</v>
      </c>
      <c r="L54" s="114">
        <f t="shared" si="15"/>
        <v>0.7372051791061706</v>
      </c>
      <c r="M54" s="97">
        <f t="shared" si="20"/>
        <v>7.372051791061706</v>
      </c>
      <c r="N54" s="175">
        <f t="shared" si="26"/>
        <v>4.254623895786809</v>
      </c>
      <c r="O54" s="94" t="e">
        <f t="shared" si="31"/>
        <v>#N/A</v>
      </c>
      <c r="P54" s="94" t="e">
        <f t="shared" si="31"/>
        <v>#N/A</v>
      </c>
      <c r="Q54" s="94">
        <f t="shared" si="31"/>
        <v>4.254623895786809</v>
      </c>
      <c r="R54" s="94" t="e">
        <f t="shared" si="31"/>
        <v>#N/A</v>
      </c>
      <c r="S54" s="66"/>
      <c r="T54" s="175">
        <v>3.3096774193548386</v>
      </c>
      <c r="U54" s="175">
        <v>4.39</v>
      </c>
      <c r="V54" s="175">
        <v>3.9375398105997883</v>
      </c>
      <c r="W54" s="186">
        <v>139</v>
      </c>
      <c r="X54" s="110" t="s">
        <v>137</v>
      </c>
      <c r="Y54" s="111">
        <f t="shared" si="27"/>
        <v>0.008</v>
      </c>
      <c r="Z54" s="112">
        <f t="shared" si="17"/>
        <v>84.45100839311021</v>
      </c>
      <c r="AA54" s="113">
        <f t="shared" si="28"/>
        <v>147.6446118</v>
      </c>
      <c r="AB54" s="114">
        <f t="shared" si="16"/>
        <v>0.5719884211386453</v>
      </c>
      <c r="AC54" s="97">
        <f t="shared" si="29"/>
        <v>5.719884211386454</v>
      </c>
      <c r="AD54" s="175">
        <f t="shared" si="30"/>
        <v>2.738698909623864</v>
      </c>
      <c r="AE54" s="94" t="e">
        <f t="shared" si="32"/>
        <v>#N/A</v>
      </c>
      <c r="AF54" s="94" t="e">
        <f t="shared" si="32"/>
        <v>#N/A</v>
      </c>
      <c r="AG54" s="94">
        <f t="shared" si="32"/>
        <v>2.738698909623864</v>
      </c>
      <c r="AH54" s="94" t="e">
        <f t="shared" si="32"/>
        <v>#N/A</v>
      </c>
      <c r="AI54" s="66"/>
      <c r="AJ54" s="175">
        <v>2.658333333333333</v>
      </c>
      <c r="AK54" s="175">
        <v>3.417307692307692</v>
      </c>
      <c r="AL54" s="175">
        <v>2.881455719673135</v>
      </c>
      <c r="AM54" s="157" t="s">
        <v>51</v>
      </c>
      <c r="AN54" s="6"/>
      <c r="AO54" s="41"/>
      <c r="AP54" s="29"/>
      <c r="AQ54" s="37"/>
      <c r="AR54" s="40"/>
    </row>
    <row r="55" spans="1:50" ht="15" customHeight="1">
      <c r="A55" s="3" t="s">
        <v>52</v>
      </c>
      <c r="B55" s="84">
        <f t="shared" si="33"/>
        <v>620.5697442068065</v>
      </c>
      <c r="C55" s="84">
        <f t="shared" si="33"/>
        <v>620.5697442068065</v>
      </c>
      <c r="D55" s="84">
        <f t="shared" si="34"/>
        <v>621.0956667311863</v>
      </c>
      <c r="E55" s="85">
        <f t="shared" si="35"/>
        <v>621.7974369038229</v>
      </c>
      <c r="F55" s="92">
        <f t="shared" si="13"/>
        <v>621.7974369038229</v>
      </c>
      <c r="G55" s="109">
        <v>291</v>
      </c>
      <c r="H55" s="110" t="s">
        <v>135</v>
      </c>
      <c r="I55" s="111">
        <f t="shared" si="24"/>
        <v>0.009</v>
      </c>
      <c r="J55" s="112">
        <f t="shared" si="14"/>
        <v>103.86587682815602</v>
      </c>
      <c r="K55" s="113">
        <f t="shared" si="25"/>
        <v>140.613916</v>
      </c>
      <c r="L55" s="114">
        <f t="shared" si="15"/>
        <v>0.7386600116318219</v>
      </c>
      <c r="M55" s="97">
        <f t="shared" si="20"/>
        <v>7.3866001163182196</v>
      </c>
      <c r="N55" s="175">
        <f t="shared" si="26"/>
        <v>4.263020154255189</v>
      </c>
      <c r="O55" s="94" t="e">
        <f t="shared" si="31"/>
        <v>#N/A</v>
      </c>
      <c r="P55" s="94" t="e">
        <f t="shared" si="31"/>
        <v>#N/A</v>
      </c>
      <c r="Q55" s="94">
        <f t="shared" si="31"/>
        <v>4.263020154255189</v>
      </c>
      <c r="R55" s="94" t="e">
        <f t="shared" si="31"/>
        <v>#N/A</v>
      </c>
      <c r="S55" s="66"/>
      <c r="T55" s="175">
        <v>3.2322580645161287</v>
      </c>
      <c r="U55" s="175">
        <v>4.28333333333333</v>
      </c>
      <c r="V55" s="175">
        <v>3.8137217872845937</v>
      </c>
      <c r="W55" s="186">
        <v>131</v>
      </c>
      <c r="X55" s="110" t="s">
        <v>137</v>
      </c>
      <c r="Y55" s="111">
        <f t="shared" si="27"/>
        <v>0.008</v>
      </c>
      <c r="Z55" s="112">
        <f t="shared" si="17"/>
        <v>84.19561943047367</v>
      </c>
      <c r="AA55" s="113">
        <f t="shared" si="28"/>
        <v>147.6446118</v>
      </c>
      <c r="AB55" s="114">
        <f t="shared" si="16"/>
        <v>0.5702586664288528</v>
      </c>
      <c r="AC55" s="97">
        <f t="shared" si="29"/>
        <v>5.702586664288528</v>
      </c>
      <c r="AD55" s="175">
        <f t="shared" si="30"/>
        <v>2.7304167885833794</v>
      </c>
      <c r="AE55" s="94" t="e">
        <f t="shared" si="32"/>
        <v>#N/A</v>
      </c>
      <c r="AF55" s="94" t="e">
        <f t="shared" si="32"/>
        <v>#N/A</v>
      </c>
      <c r="AG55" s="94">
        <f t="shared" si="32"/>
        <v>2.7304167885833794</v>
      </c>
      <c r="AH55" s="94" t="e">
        <f t="shared" si="32"/>
        <v>#N/A</v>
      </c>
      <c r="AI55" s="66"/>
      <c r="AJ55" s="175">
        <v>2.6</v>
      </c>
      <c r="AK55" s="175">
        <v>3.34</v>
      </c>
      <c r="AL55" s="175">
        <v>2.807377965340726</v>
      </c>
      <c r="AM55" s="157"/>
      <c r="AO55" s="41"/>
      <c r="AP55" s="29"/>
      <c r="AQ55" s="37"/>
      <c r="AR55" s="40"/>
      <c r="AS55" s="34"/>
      <c r="AT55" s="34"/>
      <c r="AU55" s="34"/>
      <c r="AV55" s="34"/>
      <c r="AX55" s="6"/>
    </row>
    <row r="56" spans="1:50" ht="15" customHeight="1">
      <c r="A56" s="3" t="s">
        <v>53</v>
      </c>
      <c r="B56" s="84">
        <f t="shared" si="33"/>
        <v>664.0000000000001</v>
      </c>
      <c r="C56" s="84">
        <f t="shared" si="33"/>
        <v>661.9410604872604</v>
      </c>
      <c r="D56" s="84">
        <f t="shared" si="34"/>
        <v>661.753845190878</v>
      </c>
      <c r="E56" s="85">
        <f t="shared" si="35"/>
        <v>658.7714365668028</v>
      </c>
      <c r="F56" s="92">
        <f t="shared" si="13"/>
        <v>658.7714365668028</v>
      </c>
      <c r="G56" s="109">
        <v>274</v>
      </c>
      <c r="H56" s="110" t="s">
        <v>137</v>
      </c>
      <c r="I56" s="111">
        <f t="shared" si="24"/>
        <v>0.008</v>
      </c>
      <c r="J56" s="112">
        <f t="shared" si="14"/>
        <v>103.36171469889912</v>
      </c>
      <c r="K56" s="113">
        <f t="shared" si="25"/>
        <v>147.6446118</v>
      </c>
      <c r="L56" s="114">
        <f t="shared" si="15"/>
        <v>0.7000710248668832</v>
      </c>
      <c r="M56" s="97">
        <f t="shared" si="20"/>
        <v>7.000710248668832</v>
      </c>
      <c r="N56" s="175">
        <f t="shared" si="26"/>
        <v>3.3519625251250664</v>
      </c>
      <c r="O56" s="94" t="e">
        <f t="shared" si="31"/>
        <v>#N/A</v>
      </c>
      <c r="P56" s="94" t="e">
        <f t="shared" si="31"/>
        <v>#N/A</v>
      </c>
      <c r="Q56" s="94">
        <f t="shared" si="31"/>
        <v>3.3519625251250664</v>
      </c>
      <c r="R56" s="94" t="e">
        <f t="shared" si="31"/>
        <v>#N/A</v>
      </c>
      <c r="S56" s="66"/>
      <c r="T56" s="175">
        <v>3.1548387096774193</v>
      </c>
      <c r="U56" s="175">
        <v>4.176666666666662</v>
      </c>
      <c r="V56" s="175">
        <v>3.672107172497935</v>
      </c>
      <c r="W56" s="186">
        <v>124</v>
      </c>
      <c r="X56" s="110" t="s">
        <v>137</v>
      </c>
      <c r="Y56" s="111">
        <f t="shared" si="27"/>
        <v>0.008</v>
      </c>
      <c r="Z56" s="112">
        <f t="shared" si="17"/>
        <v>84.67631334702291</v>
      </c>
      <c r="AA56" s="113">
        <f t="shared" si="28"/>
        <v>147.6446118</v>
      </c>
      <c r="AB56" s="114">
        <f t="shared" si="16"/>
        <v>0.5735144162370504</v>
      </c>
      <c r="AC56" s="97">
        <f t="shared" si="29"/>
        <v>5.735144162370504</v>
      </c>
      <c r="AD56" s="175">
        <f t="shared" si="30"/>
        <v>2.7460054231084783</v>
      </c>
      <c r="AE56" s="94" t="e">
        <f t="shared" si="32"/>
        <v>#N/A</v>
      </c>
      <c r="AF56" s="94" t="e">
        <f t="shared" si="32"/>
        <v>#N/A</v>
      </c>
      <c r="AG56" s="94">
        <f t="shared" si="32"/>
        <v>2.7460054231084783</v>
      </c>
      <c r="AH56" s="94" t="e">
        <f t="shared" si="32"/>
        <v>#N/A</v>
      </c>
      <c r="AI56" s="66"/>
      <c r="AJ56" s="175">
        <v>2.456666666666667</v>
      </c>
      <c r="AK56" s="175">
        <v>3.24</v>
      </c>
      <c r="AL56" s="175">
        <v>2.7004547719593908</v>
      </c>
      <c r="AM56" s="157" t="s">
        <v>54</v>
      </c>
      <c r="AX56" s="6"/>
    </row>
    <row r="57" spans="1:50" ht="15" customHeight="1">
      <c r="A57" s="3" t="s">
        <v>55</v>
      </c>
      <c r="B57" s="84">
        <f t="shared" si="33"/>
        <v>693.8180664130377</v>
      </c>
      <c r="C57" s="84">
        <f t="shared" si="33"/>
        <v>693.8180664130377</v>
      </c>
      <c r="D57" s="84">
        <f t="shared" si="34"/>
        <v>697.1563142751629</v>
      </c>
      <c r="E57" s="85">
        <f t="shared" si="35"/>
        <v>697.9440246605832</v>
      </c>
      <c r="F57" s="92">
        <f t="shared" si="13"/>
        <v>697.9440246605832</v>
      </c>
      <c r="G57" s="109">
        <v>259</v>
      </c>
      <c r="H57" s="110" t="s">
        <v>137</v>
      </c>
      <c r="I57" s="111">
        <f t="shared" si="24"/>
        <v>0.008</v>
      </c>
      <c r="J57" s="112">
        <f t="shared" si="14"/>
        <v>103.66443233000432</v>
      </c>
      <c r="K57" s="113">
        <f t="shared" si="25"/>
        <v>147.6446118</v>
      </c>
      <c r="L57" s="114">
        <f t="shared" si="15"/>
        <v>0.7021213376240819</v>
      </c>
      <c r="M57" s="97">
        <f t="shared" si="20"/>
        <v>7.021213376240819</v>
      </c>
      <c r="N57" s="175">
        <f t="shared" si="26"/>
        <v>3.361779488379935</v>
      </c>
      <c r="O57" s="94" t="e">
        <f t="shared" si="31"/>
        <v>#N/A</v>
      </c>
      <c r="P57" s="94" t="e">
        <f t="shared" si="31"/>
        <v>#N/A</v>
      </c>
      <c r="Q57" s="94">
        <f t="shared" si="31"/>
        <v>3.361779488379935</v>
      </c>
      <c r="R57" s="94" t="e">
        <f t="shared" si="31"/>
        <v>#N/A</v>
      </c>
      <c r="S57" s="66"/>
      <c r="T57" s="175">
        <v>3.0774193548387094</v>
      </c>
      <c r="U57" s="175">
        <v>4.069999999999995</v>
      </c>
      <c r="V57" s="175">
        <v>3.53316863261836</v>
      </c>
      <c r="W57" s="186">
        <v>117</v>
      </c>
      <c r="X57" s="110" t="s">
        <v>137</v>
      </c>
      <c r="Y57" s="111">
        <f t="shared" si="27"/>
        <v>0.008</v>
      </c>
      <c r="Z57" s="112">
        <f t="shared" si="17"/>
        <v>84.61784494360124</v>
      </c>
      <c r="AA57" s="113">
        <f t="shared" si="28"/>
        <v>147.6446118</v>
      </c>
      <c r="AB57" s="114">
        <f t="shared" si="16"/>
        <v>0.5731184085351175</v>
      </c>
      <c r="AC57" s="97">
        <f t="shared" si="29"/>
        <v>5.731184085351176</v>
      </c>
      <c r="AD57" s="175">
        <f t="shared" si="30"/>
        <v>2.7441093255278197</v>
      </c>
      <c r="AE57" s="94" t="e">
        <f t="shared" si="32"/>
        <v>#N/A</v>
      </c>
      <c r="AF57" s="94" t="e">
        <f t="shared" si="32"/>
        <v>#N/A</v>
      </c>
      <c r="AG57" s="94">
        <f t="shared" si="32"/>
        <v>2.7441093255278197</v>
      </c>
      <c r="AH57" s="94" t="e">
        <f t="shared" si="32"/>
        <v>#N/A</v>
      </c>
      <c r="AI57" s="66"/>
      <c r="AJ57" s="175">
        <v>2.263333333333334</v>
      </c>
      <c r="AK57" s="175">
        <v>3.11</v>
      </c>
      <c r="AL57" s="175">
        <v>2.577054241202416</v>
      </c>
      <c r="AM57" s="157"/>
      <c r="AN57" s="5"/>
      <c r="AX57" s="6"/>
    </row>
    <row r="58" spans="1:39" ht="15" customHeight="1">
      <c r="A58" s="3" t="s">
        <v>56</v>
      </c>
      <c r="B58" s="84">
        <f t="shared" si="33"/>
        <v>742.3745685299302</v>
      </c>
      <c r="C58" s="84">
        <f t="shared" si="33"/>
        <v>742.3745685299302</v>
      </c>
      <c r="D58" s="84">
        <f t="shared" si="34"/>
        <v>741.1178661376534</v>
      </c>
      <c r="E58" s="85">
        <f t="shared" si="35"/>
        <v>739.4459360564817</v>
      </c>
      <c r="F58" s="92">
        <f t="shared" si="13"/>
        <v>739.4459360564817</v>
      </c>
      <c r="G58" s="109">
        <v>244</v>
      </c>
      <c r="H58" s="110" t="s">
        <v>137</v>
      </c>
      <c r="I58" s="111">
        <f t="shared" si="24"/>
        <v>0.008</v>
      </c>
      <c r="J58" s="112">
        <f t="shared" si="14"/>
        <v>103.271756615893</v>
      </c>
      <c r="K58" s="113">
        <f t="shared" si="25"/>
        <v>147.6446118</v>
      </c>
      <c r="L58" s="114">
        <f t="shared" si="15"/>
        <v>0.6994617369158405</v>
      </c>
      <c r="M58" s="97">
        <f t="shared" si="20"/>
        <v>6.994617369158405</v>
      </c>
      <c r="N58" s="175">
        <f t="shared" si="26"/>
        <v>3.349045234869705</v>
      </c>
      <c r="O58" s="94" t="e">
        <f t="shared" si="31"/>
        <v>#N/A</v>
      </c>
      <c r="P58" s="94" t="e">
        <f t="shared" si="31"/>
        <v>#N/A</v>
      </c>
      <c r="Q58" s="94">
        <f t="shared" si="31"/>
        <v>3.349045234869705</v>
      </c>
      <c r="R58" s="94" t="e">
        <f t="shared" si="31"/>
        <v>#N/A</v>
      </c>
      <c r="S58" s="66"/>
      <c r="T58" s="175">
        <v>3.02</v>
      </c>
      <c r="U58" s="175">
        <v>3.9633333333333285</v>
      </c>
      <c r="V58" s="175">
        <v>3.4399336607468673</v>
      </c>
      <c r="W58" s="186">
        <v>111</v>
      </c>
      <c r="X58" s="110" t="s">
        <v>137</v>
      </c>
      <c r="Y58" s="111">
        <f t="shared" si="27"/>
        <v>0.008</v>
      </c>
      <c r="Z58" s="112">
        <f t="shared" si="17"/>
        <v>85.4885321999743</v>
      </c>
      <c r="AA58" s="113">
        <f t="shared" si="28"/>
        <v>147.6446118</v>
      </c>
      <c r="AB58" s="114">
        <f t="shared" si="16"/>
        <v>0.5790155912751995</v>
      </c>
      <c r="AC58" s="97">
        <f t="shared" si="29"/>
        <v>5.790155912751995</v>
      </c>
      <c r="AD58" s="175">
        <f t="shared" si="30"/>
        <v>2.7723452256671344</v>
      </c>
      <c r="AE58" s="94" t="e">
        <f t="shared" si="32"/>
        <v>#N/A</v>
      </c>
      <c r="AF58" s="94" t="e">
        <f t="shared" si="32"/>
        <v>#N/A</v>
      </c>
      <c r="AG58" s="94">
        <f t="shared" si="32"/>
        <v>2.7723452256671344</v>
      </c>
      <c r="AH58" s="94" t="e">
        <f t="shared" si="32"/>
        <v>#N/A</v>
      </c>
      <c r="AI58" s="66"/>
      <c r="AJ58" s="175">
        <v>2.1</v>
      </c>
      <c r="AK58" s="175">
        <v>3</v>
      </c>
      <c r="AL58" s="175">
        <v>2.4629939941343673</v>
      </c>
      <c r="AM58" s="157" t="s">
        <v>57</v>
      </c>
    </row>
    <row r="59" spans="1:39" ht="15" customHeight="1">
      <c r="A59" s="3" t="s">
        <v>58</v>
      </c>
      <c r="B59" s="84">
        <f t="shared" si="33"/>
        <v>775.7121802585079</v>
      </c>
      <c r="C59" s="84">
        <f t="shared" si="33"/>
        <v>780.5453247146675</v>
      </c>
      <c r="D59" s="84">
        <f t="shared" si="34"/>
        <v>784.3008535595583</v>
      </c>
      <c r="E59" s="85">
        <f t="shared" si="35"/>
        <v>783.4156795258058</v>
      </c>
      <c r="F59" s="92">
        <f t="shared" si="13"/>
        <v>783.4156795258058</v>
      </c>
      <c r="G59" s="109">
        <v>230</v>
      </c>
      <c r="H59" s="110" t="s">
        <v>137</v>
      </c>
      <c r="I59" s="111">
        <f t="shared" si="24"/>
        <v>0.008</v>
      </c>
      <c r="J59" s="112">
        <f t="shared" si="14"/>
        <v>102.9981085867963</v>
      </c>
      <c r="K59" s="113">
        <f t="shared" si="25"/>
        <v>147.6446118</v>
      </c>
      <c r="L59" s="114">
        <f t="shared" si="15"/>
        <v>0.6976083131724303</v>
      </c>
      <c r="M59" s="97">
        <f t="shared" si="20"/>
        <v>6.9760831317243035</v>
      </c>
      <c r="N59" s="175">
        <f t="shared" si="26"/>
        <v>3.340170982528995</v>
      </c>
      <c r="O59" s="94" t="e">
        <f t="shared" si="31"/>
        <v>#N/A</v>
      </c>
      <c r="P59" s="94" t="e">
        <f t="shared" si="31"/>
        <v>#N/A</v>
      </c>
      <c r="Q59" s="94">
        <f t="shared" si="31"/>
        <v>3.340170982528995</v>
      </c>
      <c r="R59" s="94" t="e">
        <f t="shared" si="31"/>
        <v>#N/A</v>
      </c>
      <c r="S59" s="66"/>
      <c r="T59" s="175">
        <v>3</v>
      </c>
      <c r="U59" s="175">
        <v>3.8566666666666616</v>
      </c>
      <c r="V59" s="175">
        <v>3.4002623500915923</v>
      </c>
      <c r="W59" s="186">
        <v>105</v>
      </c>
      <c r="X59" s="110" t="s">
        <v>137</v>
      </c>
      <c r="Y59" s="111">
        <f t="shared" si="27"/>
        <v>0.008</v>
      </c>
      <c r="Z59" s="112">
        <f t="shared" si="17"/>
        <v>85.86420772547669</v>
      </c>
      <c r="AA59" s="113">
        <f t="shared" si="28"/>
        <v>147.6446118</v>
      </c>
      <c r="AB59" s="114">
        <f t="shared" si="16"/>
        <v>0.5815600493554665</v>
      </c>
      <c r="AC59" s="97">
        <f t="shared" si="29"/>
        <v>5.815600493554665</v>
      </c>
      <c r="AD59" s="175">
        <f t="shared" si="30"/>
        <v>2.7845281725808824</v>
      </c>
      <c r="AE59" s="94" t="e">
        <f t="shared" si="32"/>
        <v>#N/A</v>
      </c>
      <c r="AF59" s="94" t="e">
        <f t="shared" si="32"/>
        <v>#N/A</v>
      </c>
      <c r="AG59" s="94">
        <f t="shared" si="32"/>
        <v>2.7845281725808824</v>
      </c>
      <c r="AH59" s="94" t="e">
        <f t="shared" si="32"/>
        <v>#N/A</v>
      </c>
      <c r="AI59" s="66"/>
      <c r="AJ59" s="175">
        <v>2.07</v>
      </c>
      <c r="AK59" s="175">
        <v>2.9</v>
      </c>
      <c r="AL59" s="175">
        <v>2.368989909551729</v>
      </c>
      <c r="AM59" s="190"/>
    </row>
    <row r="60" spans="1:39" ht="15" customHeight="1">
      <c r="A60" s="3" t="s">
        <v>59</v>
      </c>
      <c r="B60" s="84">
        <f t="shared" si="33"/>
        <v>830</v>
      </c>
      <c r="C60" s="84">
        <f t="shared" si="33"/>
        <v>830</v>
      </c>
      <c r="D60" s="84">
        <f t="shared" si="34"/>
        <v>830</v>
      </c>
      <c r="E60" s="85">
        <f t="shared" si="35"/>
        <v>830</v>
      </c>
      <c r="F60" s="92">
        <f t="shared" si="13"/>
        <v>830</v>
      </c>
      <c r="G60" s="109">
        <v>217</v>
      </c>
      <c r="H60" s="110" t="s">
        <v>137</v>
      </c>
      <c r="I60" s="111">
        <f t="shared" si="24"/>
        <v>0.008</v>
      </c>
      <c r="J60" s="112">
        <f t="shared" si="14"/>
        <v>102.91169023920003</v>
      </c>
      <c r="K60" s="113">
        <f t="shared" si="25"/>
        <v>147.6446118</v>
      </c>
      <c r="L60" s="114">
        <f t="shared" si="15"/>
        <v>0.6970229999223041</v>
      </c>
      <c r="M60" s="97">
        <f t="shared" si="20"/>
        <v>6.970229999223041</v>
      </c>
      <c r="N60" s="175">
        <f t="shared" si="26"/>
        <v>3.3373684839107227</v>
      </c>
      <c r="O60" s="94" t="e">
        <f t="shared" si="31"/>
        <v>#N/A</v>
      </c>
      <c r="P60" s="94" t="e">
        <f t="shared" si="31"/>
        <v>#N/A</v>
      </c>
      <c r="Q60" s="94">
        <f t="shared" si="31"/>
        <v>3.3373684839107227</v>
      </c>
      <c r="R60" s="94" t="e">
        <f t="shared" si="31"/>
        <v>#N/A</v>
      </c>
      <c r="S60" s="66"/>
      <c r="T60" s="175">
        <v>3</v>
      </c>
      <c r="U60" s="175">
        <v>3.77</v>
      </c>
      <c r="V60" s="175">
        <v>3.3988407534882326</v>
      </c>
      <c r="W60" s="186">
        <v>100</v>
      </c>
      <c r="X60" s="110" t="s">
        <v>137</v>
      </c>
      <c r="Y60" s="111">
        <f t="shared" si="27"/>
        <v>0.008</v>
      </c>
      <c r="Z60" s="112">
        <f t="shared" si="17"/>
        <v>87.41887934693878</v>
      </c>
      <c r="AA60" s="113">
        <f t="shared" si="28"/>
        <v>147.6446118</v>
      </c>
      <c r="AB60" s="114">
        <f t="shared" si="16"/>
        <v>0.5920898723033439</v>
      </c>
      <c r="AC60" s="97">
        <f t="shared" si="29"/>
        <v>5.920898723033439</v>
      </c>
      <c r="AD60" s="175">
        <f t="shared" si="30"/>
        <v>2.83494530264879</v>
      </c>
      <c r="AE60" s="94" t="e">
        <f t="shared" si="32"/>
        <v>#N/A</v>
      </c>
      <c r="AF60" s="94" t="e">
        <f t="shared" si="32"/>
        <v>#N/A</v>
      </c>
      <c r="AG60" s="94">
        <f t="shared" si="32"/>
        <v>2.83494530264879</v>
      </c>
      <c r="AH60" s="94" t="e">
        <f t="shared" si="32"/>
        <v>#N/A</v>
      </c>
      <c r="AI60" s="66"/>
      <c r="AJ60" s="175">
        <v>2.07</v>
      </c>
      <c r="AK60" s="175">
        <v>2.83</v>
      </c>
      <c r="AL60" s="175">
        <v>2.3057966634241933</v>
      </c>
      <c r="AM60" s="157" t="s">
        <v>60</v>
      </c>
    </row>
    <row r="61" spans="1:39" ht="15" customHeight="1">
      <c r="A61" s="3" t="s">
        <v>61</v>
      </c>
      <c r="B61" s="84">
        <f t="shared" si="33"/>
        <v>888.0871250086886</v>
      </c>
      <c r="C61" s="84">
        <f t="shared" si="33"/>
        <v>881.4672999851734</v>
      </c>
      <c r="D61" s="84">
        <f t="shared" si="34"/>
        <v>882.338460254504</v>
      </c>
      <c r="E61" s="85">
        <f t="shared" si="35"/>
        <v>879.354368318215</v>
      </c>
      <c r="F61" s="92">
        <f t="shared" si="13"/>
        <v>879.354368318215</v>
      </c>
      <c r="G61" s="109">
        <v>205</v>
      </c>
      <c r="H61" s="110" t="s">
        <v>137</v>
      </c>
      <c r="I61" s="111">
        <f t="shared" si="24"/>
        <v>0.008</v>
      </c>
      <c r="J61" s="112">
        <f t="shared" si="14"/>
        <v>103.09192082529148</v>
      </c>
      <c r="K61" s="113">
        <f t="shared" si="25"/>
        <v>147.6446118</v>
      </c>
      <c r="L61" s="114">
        <f t="shared" si="15"/>
        <v>0.6982437053980691</v>
      </c>
      <c r="M61" s="97">
        <f t="shared" si="20"/>
        <v>6.982437053980691</v>
      </c>
      <c r="N61" s="175">
        <f t="shared" si="26"/>
        <v>3.3432132608885405</v>
      </c>
      <c r="O61" s="94" t="e">
        <f t="shared" si="31"/>
        <v>#N/A</v>
      </c>
      <c r="P61" s="94" t="e">
        <f t="shared" si="31"/>
        <v>#N/A</v>
      </c>
      <c r="Q61" s="94">
        <f t="shared" si="31"/>
        <v>3.3432132608885405</v>
      </c>
      <c r="R61" s="94" t="e">
        <f t="shared" si="31"/>
        <v>#N/A</v>
      </c>
      <c r="S61" s="66"/>
      <c r="T61" s="175">
        <v>3</v>
      </c>
      <c r="U61" s="175">
        <v>3.75</v>
      </c>
      <c r="V61" s="175">
        <v>3.406428563945321</v>
      </c>
      <c r="W61" s="186">
        <v>95</v>
      </c>
      <c r="X61" s="110" t="s">
        <v>141</v>
      </c>
      <c r="Y61" s="111">
        <f t="shared" si="27"/>
        <v>0.007</v>
      </c>
      <c r="Z61" s="112">
        <f t="shared" si="17"/>
        <v>89.41634113590327</v>
      </c>
      <c r="AA61" s="113">
        <f t="shared" si="28"/>
        <v>281.227832</v>
      </c>
      <c r="AB61" s="114">
        <f t="shared" si="16"/>
        <v>0.317949829147434</v>
      </c>
      <c r="AC61" s="97">
        <f t="shared" si="29"/>
        <v>3.1794982914743404</v>
      </c>
      <c r="AD61" s="175">
        <f t="shared" si="30"/>
        <v>2.2200995566317037</v>
      </c>
      <c r="AE61" s="94" t="e">
        <f t="shared" si="32"/>
        <v>#N/A</v>
      </c>
      <c r="AF61" s="94" t="e">
        <f t="shared" si="32"/>
        <v>#N/A</v>
      </c>
      <c r="AG61" s="94" t="e">
        <f t="shared" si="32"/>
        <v>#N/A</v>
      </c>
      <c r="AH61" s="94">
        <f t="shared" si="32"/>
        <v>2.2200995566317037</v>
      </c>
      <c r="AI61" s="66"/>
      <c r="AJ61" s="175">
        <v>2.07</v>
      </c>
      <c r="AK61" s="175">
        <v>2.78</v>
      </c>
      <c r="AL61" s="175">
        <v>2.2796684732594676</v>
      </c>
      <c r="AM61" s="157"/>
    </row>
    <row r="62" spans="1:39" ht="15" customHeight="1">
      <c r="A62" s="3" t="s">
        <v>62</v>
      </c>
      <c r="B62" s="84">
        <f t="shared" si="33"/>
        <v>927.9682106624126</v>
      </c>
      <c r="C62" s="84">
        <f t="shared" si="33"/>
        <v>927.9682106624126</v>
      </c>
      <c r="D62" s="84">
        <f t="shared" si="34"/>
        <v>929.5417523668839</v>
      </c>
      <c r="E62" s="85">
        <f t="shared" si="35"/>
        <v>931.6435000967798</v>
      </c>
      <c r="F62" s="92">
        <f t="shared" si="13"/>
        <v>931.6435000967798</v>
      </c>
      <c r="G62" s="109">
        <v>194</v>
      </c>
      <c r="H62" s="110" t="s">
        <v>137</v>
      </c>
      <c r="I62" s="111">
        <f t="shared" si="24"/>
        <v>0.008</v>
      </c>
      <c r="J62" s="112">
        <f t="shared" si="14"/>
        <v>103.63155987020542</v>
      </c>
      <c r="K62" s="113">
        <f t="shared" si="25"/>
        <v>147.6446118</v>
      </c>
      <c r="L62" s="114">
        <f t="shared" si="15"/>
        <v>0.701898691776068</v>
      </c>
      <c r="M62" s="97">
        <f t="shared" si="20"/>
        <v>7.01898691776068</v>
      </c>
      <c r="N62" s="175">
        <f t="shared" si="26"/>
        <v>3.3607134529172344</v>
      </c>
      <c r="O62" s="94" t="e">
        <f t="shared" si="31"/>
        <v>#N/A</v>
      </c>
      <c r="P62" s="94" t="e">
        <f t="shared" si="31"/>
        <v>#N/A</v>
      </c>
      <c r="Q62" s="94">
        <f t="shared" si="31"/>
        <v>3.3607134529172344</v>
      </c>
      <c r="R62" s="94" t="e">
        <f t="shared" si="31"/>
        <v>#N/A</v>
      </c>
      <c r="S62" s="66"/>
      <c r="T62" s="175">
        <v>3</v>
      </c>
      <c r="U62" s="175">
        <v>3.75</v>
      </c>
      <c r="V62" s="175">
        <v>3.4140163744024097</v>
      </c>
      <c r="W62" s="186">
        <v>91</v>
      </c>
      <c r="X62" s="110" t="s">
        <v>141</v>
      </c>
      <c r="Y62" s="111">
        <f t="shared" si="27"/>
        <v>0.007</v>
      </c>
      <c r="Z62" s="112">
        <f t="shared" si="17"/>
        <v>92.09247287290361</v>
      </c>
      <c r="AA62" s="113">
        <f t="shared" si="28"/>
        <v>281.227832</v>
      </c>
      <c r="AB62" s="114">
        <f t="shared" si="16"/>
        <v>0.32746571425015863</v>
      </c>
      <c r="AC62" s="97">
        <f t="shared" si="29"/>
        <v>3.2746571425015865</v>
      </c>
      <c r="AD62" s="175">
        <f t="shared" si="30"/>
        <v>2.2865446695420206</v>
      </c>
      <c r="AE62" s="94" t="e">
        <f t="shared" si="32"/>
        <v>#N/A</v>
      </c>
      <c r="AF62" s="94" t="e">
        <f t="shared" si="32"/>
        <v>#N/A</v>
      </c>
      <c r="AG62" s="94" t="e">
        <f t="shared" si="32"/>
        <v>#N/A</v>
      </c>
      <c r="AH62" s="94">
        <f t="shared" si="32"/>
        <v>2.2865446695420206</v>
      </c>
      <c r="AI62" s="66"/>
      <c r="AJ62" s="175">
        <v>2.09</v>
      </c>
      <c r="AK62" s="175">
        <v>2.75</v>
      </c>
      <c r="AL62" s="175">
        <v>2.3003638681710306</v>
      </c>
      <c r="AM62" s="157" t="s">
        <v>78</v>
      </c>
    </row>
    <row r="63" spans="1:39" ht="15" customHeight="1">
      <c r="A63" s="3" t="s">
        <v>63</v>
      </c>
      <c r="B63" s="84">
        <f t="shared" si="33"/>
        <v>992.9115907308906</v>
      </c>
      <c r="C63" s="84">
        <f t="shared" si="33"/>
        <v>992.9115907308906</v>
      </c>
      <c r="D63" s="84">
        <f t="shared" si="34"/>
        <v>990.3914353994087</v>
      </c>
      <c r="E63" s="85">
        <f t="shared" si="35"/>
        <v>987.0419054522587</v>
      </c>
      <c r="F63" s="92">
        <f t="shared" si="13"/>
        <v>987.0419054522587</v>
      </c>
      <c r="G63" s="109">
        <v>183</v>
      </c>
      <c r="H63" s="110" t="s">
        <v>137</v>
      </c>
      <c r="I63" s="111">
        <f t="shared" si="24"/>
        <v>0.008</v>
      </c>
      <c r="J63" s="112">
        <f t="shared" si="14"/>
        <v>103.50526003785022</v>
      </c>
      <c r="K63" s="113">
        <f t="shared" si="25"/>
        <v>147.6446118</v>
      </c>
      <c r="L63" s="114">
        <f t="shared" si="15"/>
        <v>0.7010432604073549</v>
      </c>
      <c r="M63" s="97">
        <f t="shared" si="20"/>
        <v>7.010432604073548</v>
      </c>
      <c r="N63" s="175">
        <f t="shared" si="26"/>
        <v>3.3566176200818614</v>
      </c>
      <c r="O63" s="94" t="e">
        <f t="shared" si="31"/>
        <v>#N/A</v>
      </c>
      <c r="P63" s="94" t="e">
        <f t="shared" si="31"/>
        <v>#N/A</v>
      </c>
      <c r="Q63" s="94">
        <f t="shared" si="31"/>
        <v>3.3566176200818614</v>
      </c>
      <c r="R63" s="94" t="e">
        <f t="shared" si="31"/>
        <v>#N/A</v>
      </c>
      <c r="S63" s="66"/>
      <c r="T63" s="175">
        <v>3</v>
      </c>
      <c r="U63" s="175">
        <v>3.783333333333333</v>
      </c>
      <c r="V63" s="175">
        <v>3.4216041848594982</v>
      </c>
      <c r="W63" s="186">
        <v>87</v>
      </c>
      <c r="X63" s="110" t="s">
        <v>141</v>
      </c>
      <c r="Y63" s="111">
        <f t="shared" si="27"/>
        <v>0.007</v>
      </c>
      <c r="Z63" s="112">
        <f t="shared" si="17"/>
        <v>94.48253159119203</v>
      </c>
      <c r="AA63" s="113">
        <f t="shared" si="28"/>
        <v>281.227832</v>
      </c>
      <c r="AB63" s="114">
        <f t="shared" si="16"/>
        <v>0.3359643706643944</v>
      </c>
      <c r="AC63" s="97">
        <f t="shared" si="29"/>
        <v>3.359643706643944</v>
      </c>
      <c r="AD63" s="175">
        <f t="shared" si="30"/>
        <v>2.3458869355460727</v>
      </c>
      <c r="AE63" s="94" t="e">
        <f t="shared" si="32"/>
        <v>#N/A</v>
      </c>
      <c r="AF63" s="94" t="e">
        <f t="shared" si="32"/>
        <v>#N/A</v>
      </c>
      <c r="AG63" s="94" t="e">
        <f t="shared" si="32"/>
        <v>#N/A</v>
      </c>
      <c r="AH63" s="94">
        <f t="shared" si="32"/>
        <v>2.3458869355460727</v>
      </c>
      <c r="AI63" s="66"/>
      <c r="AJ63" s="175">
        <v>2.13</v>
      </c>
      <c r="AK63" s="175">
        <v>2.75</v>
      </c>
      <c r="AL63" s="175">
        <v>2.364840528828888</v>
      </c>
      <c r="AM63" s="190"/>
    </row>
    <row r="64" spans="1:39" ht="15" customHeight="1">
      <c r="A64" s="3" t="s">
        <v>64</v>
      </c>
      <c r="B64" s="88">
        <f t="shared" si="33"/>
        <v>1037.4999999999998</v>
      </c>
      <c r="C64" s="88">
        <f t="shared" si="33"/>
        <v>1040.7270996195566</v>
      </c>
      <c r="D64" s="88">
        <f t="shared" si="34"/>
        <v>1045.7344714127444</v>
      </c>
      <c r="E64" s="89">
        <f t="shared" si="35"/>
        <v>1045.7344714127448</v>
      </c>
      <c r="F64" s="92">
        <f t="shared" si="13"/>
        <v>1045.7344714127448</v>
      </c>
      <c r="G64" s="109">
        <v>174</v>
      </c>
      <c r="H64" s="110" t="s">
        <v>137</v>
      </c>
      <c r="I64" s="111">
        <f t="shared" si="24"/>
        <v>0.008</v>
      </c>
      <c r="J64" s="112">
        <f t="shared" si="14"/>
        <v>105.03412064306559</v>
      </c>
      <c r="K64" s="113">
        <f t="shared" si="25"/>
        <v>147.6446118</v>
      </c>
      <c r="L64" s="114">
        <f t="shared" si="15"/>
        <v>0.7113982648099969</v>
      </c>
      <c r="M64" s="97">
        <f t="shared" si="20"/>
        <v>7.113982648099969</v>
      </c>
      <c r="N64" s="175">
        <f t="shared" si="26"/>
        <v>3.4061977133470567</v>
      </c>
      <c r="O64" s="94" t="e">
        <f t="shared" si="31"/>
        <v>#N/A</v>
      </c>
      <c r="P64" s="94" t="e">
        <f t="shared" si="31"/>
        <v>#N/A</v>
      </c>
      <c r="Q64" s="94">
        <f t="shared" si="31"/>
        <v>3.4061977133470567</v>
      </c>
      <c r="R64" s="94" t="e">
        <f t="shared" si="31"/>
        <v>#N/A</v>
      </c>
      <c r="S64" s="66"/>
      <c r="T64" s="175">
        <v>3.02</v>
      </c>
      <c r="U64" s="175">
        <v>3.816666666666667</v>
      </c>
      <c r="V64" s="175">
        <v>3.429191995316587</v>
      </c>
      <c r="W64" s="186">
        <v>84</v>
      </c>
      <c r="X64" s="110" t="s">
        <v>141</v>
      </c>
      <c r="Y64" s="111">
        <f t="shared" si="27"/>
        <v>0.007</v>
      </c>
      <c r="Z64" s="112">
        <f t="shared" si="17"/>
        <v>98.86515559621249</v>
      </c>
      <c r="AA64" s="113">
        <f t="shared" si="28"/>
        <v>281.227832</v>
      </c>
      <c r="AB64" s="114">
        <f t="shared" si="16"/>
        <v>0.3515482621087535</v>
      </c>
      <c r="AC64" s="97">
        <f t="shared" si="29"/>
        <v>3.515482621087535</v>
      </c>
      <c r="AD64" s="175">
        <f t="shared" si="30"/>
        <v>2.454702186615685</v>
      </c>
      <c r="AE64" s="94" t="e">
        <f t="shared" si="32"/>
        <v>#N/A</v>
      </c>
      <c r="AF64" s="94" t="e">
        <f t="shared" si="32"/>
        <v>#N/A</v>
      </c>
      <c r="AG64" s="94" t="e">
        <f t="shared" si="32"/>
        <v>#N/A</v>
      </c>
      <c r="AH64" s="94">
        <f t="shared" si="32"/>
        <v>2.454702186615685</v>
      </c>
      <c r="AI64" s="66"/>
      <c r="AJ64" s="175">
        <v>2.19</v>
      </c>
      <c r="AK64" s="175">
        <v>2.81</v>
      </c>
      <c r="AL64" s="175">
        <v>2.4675325773358288</v>
      </c>
      <c r="AM64" s="157" t="s">
        <v>64</v>
      </c>
    </row>
    <row r="65" spans="1:39" ht="15" customHeight="1">
      <c r="A65" s="3" t="s">
        <v>65</v>
      </c>
      <c r="B65" s="88">
        <f t="shared" si="33"/>
        <v>1110.1089062608605</v>
      </c>
      <c r="C65" s="88">
        <f t="shared" si="33"/>
        <v>1110.1089062608605</v>
      </c>
      <c r="D65" s="88">
        <f t="shared" si="34"/>
        <v>1109.1689040847227</v>
      </c>
      <c r="E65" s="89">
        <f t="shared" si="35"/>
        <v>1107.9170789611287</v>
      </c>
      <c r="F65" s="92">
        <f t="shared" si="13"/>
        <v>1107.9170789611287</v>
      </c>
      <c r="G65" s="109">
        <v>164</v>
      </c>
      <c r="H65" s="110" t="s">
        <v>137</v>
      </c>
      <c r="I65" s="111">
        <f t="shared" si="24"/>
        <v>0.008</v>
      </c>
      <c r="J65" s="112">
        <f t="shared" si="14"/>
        <v>104.73486308319367</v>
      </c>
      <c r="K65" s="113">
        <f t="shared" si="25"/>
        <v>147.6446118</v>
      </c>
      <c r="L65" s="114">
        <f t="shared" si="15"/>
        <v>0.7093713871866042</v>
      </c>
      <c r="M65" s="97">
        <f t="shared" si="20"/>
        <v>7.093713871866042</v>
      </c>
      <c r="N65" s="175">
        <f t="shared" si="26"/>
        <v>3.396492958264644</v>
      </c>
      <c r="O65" s="94" t="e">
        <f t="shared" si="31"/>
        <v>#N/A</v>
      </c>
      <c r="P65" s="94" t="e">
        <f t="shared" si="31"/>
        <v>#N/A</v>
      </c>
      <c r="Q65" s="94">
        <f t="shared" si="31"/>
        <v>3.396492958264644</v>
      </c>
      <c r="R65" s="94" t="e">
        <f t="shared" si="31"/>
        <v>#N/A</v>
      </c>
      <c r="S65" s="66"/>
      <c r="T65" s="175">
        <v>3.05</v>
      </c>
      <c r="U65" s="175">
        <v>3.86</v>
      </c>
      <c r="V65" s="175">
        <v>3.5353358284889445</v>
      </c>
      <c r="W65" s="186">
        <v>81</v>
      </c>
      <c r="X65" s="110" t="s">
        <v>141</v>
      </c>
      <c r="Y65" s="111">
        <f t="shared" si="27"/>
        <v>0.007</v>
      </c>
      <c r="Z65" s="112">
        <f t="shared" si="17"/>
        <v>103.18733253382172</v>
      </c>
      <c r="AA65" s="113">
        <f t="shared" si="28"/>
        <v>281.227832</v>
      </c>
      <c r="AB65" s="114">
        <f t="shared" si="16"/>
        <v>0.3669172137052983</v>
      </c>
      <c r="AC65" s="97">
        <f t="shared" si="29"/>
        <v>3.669172137052983</v>
      </c>
      <c r="AD65" s="175">
        <f t="shared" si="30"/>
        <v>2.5620166101424275</v>
      </c>
      <c r="AE65" s="94" t="e">
        <f t="shared" si="32"/>
        <v>#N/A</v>
      </c>
      <c r="AF65" s="94" t="e">
        <f t="shared" si="32"/>
        <v>#N/A</v>
      </c>
      <c r="AG65" s="94" t="e">
        <f t="shared" si="32"/>
        <v>#N/A</v>
      </c>
      <c r="AH65" s="94">
        <f t="shared" si="32"/>
        <v>2.5620166101424275</v>
      </c>
      <c r="AI65" s="66"/>
      <c r="AJ65" s="175">
        <v>2.26</v>
      </c>
      <c r="AK65" s="175">
        <v>2.92</v>
      </c>
      <c r="AL65" s="175">
        <v>2.597709899462745</v>
      </c>
      <c r="AM65" s="157"/>
    </row>
    <row r="66" spans="1:39" ht="15" customHeight="1">
      <c r="A66" s="3" t="s">
        <v>66</v>
      </c>
      <c r="B66" s="88">
        <f t="shared" si="33"/>
        <v>1187.7993096478885</v>
      </c>
      <c r="C66" s="88">
        <f t="shared" si="33"/>
        <v>1172.306675491401</v>
      </c>
      <c r="D66" s="88">
        <f t="shared" si="34"/>
        <v>1176.4512803393386</v>
      </c>
      <c r="E66" s="89">
        <f t="shared" si="35"/>
        <v>1173.797256769669</v>
      </c>
      <c r="F66" s="92">
        <f t="shared" si="13"/>
        <v>1173.797256769669</v>
      </c>
      <c r="G66" s="109">
        <v>155</v>
      </c>
      <c r="H66" s="110" t="s">
        <v>137</v>
      </c>
      <c r="I66" s="111">
        <f t="shared" si="24"/>
        <v>0.008</v>
      </c>
      <c r="J66" s="112">
        <f t="shared" si="14"/>
        <v>105.01192881551027</v>
      </c>
      <c r="K66" s="113">
        <f t="shared" si="25"/>
        <v>147.6446118</v>
      </c>
      <c r="L66" s="114">
        <f t="shared" si="15"/>
        <v>0.7112479591043922</v>
      </c>
      <c r="M66" s="97">
        <f t="shared" si="20"/>
        <v>7.112479591043922</v>
      </c>
      <c r="N66" s="175">
        <f t="shared" si="26"/>
        <v>3.4054780448068613</v>
      </c>
      <c r="O66" s="94" t="e">
        <f t="shared" si="31"/>
        <v>#N/A</v>
      </c>
      <c r="P66" s="94" t="e">
        <f t="shared" si="31"/>
        <v>#N/A</v>
      </c>
      <c r="Q66" s="94">
        <f t="shared" si="31"/>
        <v>3.4054780448068613</v>
      </c>
      <c r="R66" s="94" t="e">
        <f t="shared" si="31"/>
        <v>#N/A</v>
      </c>
      <c r="S66" s="66"/>
      <c r="T66" s="175">
        <v>3.1</v>
      </c>
      <c r="U66" s="175">
        <v>3.91</v>
      </c>
      <c r="V66" s="175">
        <v>3.5884248585470404</v>
      </c>
      <c r="W66" s="186">
        <v>78</v>
      </c>
      <c r="X66" s="110" t="s">
        <v>141</v>
      </c>
      <c r="Y66" s="111">
        <f t="shared" si="27"/>
        <v>0.007</v>
      </c>
      <c r="Z66" s="112">
        <f t="shared" si="17"/>
        <v>107.40319957968981</v>
      </c>
      <c r="AA66" s="113">
        <f t="shared" si="28"/>
        <v>281.227832</v>
      </c>
      <c r="AB66" s="114">
        <f t="shared" si="16"/>
        <v>0.3819081447802429</v>
      </c>
      <c r="AC66" s="97">
        <f t="shared" si="29"/>
        <v>3.8190814478024286</v>
      </c>
      <c r="AD66" s="175">
        <f t="shared" si="30"/>
        <v>2.6666914876922068</v>
      </c>
      <c r="AE66" s="94" t="e">
        <f t="shared" si="32"/>
        <v>#N/A</v>
      </c>
      <c r="AF66" s="94" t="e">
        <f t="shared" si="32"/>
        <v>#N/A</v>
      </c>
      <c r="AG66" s="94" t="e">
        <f t="shared" si="32"/>
        <v>#N/A</v>
      </c>
      <c r="AH66" s="94">
        <f t="shared" si="32"/>
        <v>2.6666914876922068</v>
      </c>
      <c r="AI66" s="66"/>
      <c r="AJ66" s="175">
        <v>2.35</v>
      </c>
      <c r="AK66" s="175">
        <v>3.07</v>
      </c>
      <c r="AL66" s="175">
        <v>2.7512099418457714</v>
      </c>
      <c r="AM66" s="157" t="s">
        <v>66</v>
      </c>
    </row>
    <row r="67" spans="1:39" ht="15" customHeight="1">
      <c r="A67" s="3" t="s">
        <v>67</v>
      </c>
      <c r="B67" s="88">
        <f t="shared" si="33"/>
        <v>1241.139488413613</v>
      </c>
      <c r="C67" s="88">
        <f t="shared" si="33"/>
        <v>1241.139488413613</v>
      </c>
      <c r="D67" s="88">
        <f t="shared" si="34"/>
        <v>1242.1913334623725</v>
      </c>
      <c r="E67" s="89">
        <f t="shared" si="35"/>
        <v>1243.594873807646</v>
      </c>
      <c r="F67" s="92">
        <f t="shared" si="13"/>
        <v>1243.594873807646</v>
      </c>
      <c r="G67" s="109">
        <v>147</v>
      </c>
      <c r="H67" s="110" t="s">
        <v>137</v>
      </c>
      <c r="I67" s="111">
        <f t="shared" si="24"/>
        <v>0.008</v>
      </c>
      <c r="J67" s="112">
        <f t="shared" si="14"/>
        <v>106.0184802909566</v>
      </c>
      <c r="K67" s="113">
        <f t="shared" si="25"/>
        <v>147.6446118</v>
      </c>
      <c r="L67" s="114">
        <f t="shared" si="15"/>
        <v>0.7180653530016365</v>
      </c>
      <c r="M67" s="97">
        <f t="shared" si="20"/>
        <v>7.180653530016365</v>
      </c>
      <c r="N67" s="175">
        <f t="shared" si="26"/>
        <v>3.4381199454867595</v>
      </c>
      <c r="O67" s="94" t="e">
        <f t="shared" si="31"/>
        <v>#N/A</v>
      </c>
      <c r="P67" s="94" t="e">
        <f t="shared" si="31"/>
        <v>#N/A</v>
      </c>
      <c r="Q67" s="94">
        <f t="shared" si="31"/>
        <v>3.4381199454867595</v>
      </c>
      <c r="R67" s="94" t="e">
        <f t="shared" si="31"/>
        <v>#N/A</v>
      </c>
      <c r="S67" s="66"/>
      <c r="T67" s="175">
        <v>3.15</v>
      </c>
      <c r="U67" s="175">
        <v>3.97</v>
      </c>
      <c r="V67" s="175">
        <v>3.6532820838506233</v>
      </c>
      <c r="W67" s="186">
        <v>76</v>
      </c>
      <c r="X67" s="110" t="s">
        <v>141</v>
      </c>
      <c r="Y67" s="111">
        <f t="shared" si="27"/>
        <v>0.007</v>
      </c>
      <c r="Z67" s="112">
        <f t="shared" si="17"/>
        <v>114.45291665395627</v>
      </c>
      <c r="AA67" s="113">
        <f t="shared" si="28"/>
        <v>281.227832</v>
      </c>
      <c r="AB67" s="114">
        <f t="shared" si="16"/>
        <v>0.4069757813087158</v>
      </c>
      <c r="AC67" s="97">
        <f t="shared" si="29"/>
        <v>4.069757813087158</v>
      </c>
      <c r="AD67" s="175">
        <f t="shared" si="30"/>
        <v>2.841727432488583</v>
      </c>
      <c r="AE67" s="94" t="e">
        <f t="shared" si="32"/>
        <v>#N/A</v>
      </c>
      <c r="AF67" s="94" t="e">
        <f t="shared" si="32"/>
        <v>#N/A</v>
      </c>
      <c r="AG67" s="94" t="e">
        <f t="shared" si="32"/>
        <v>#N/A</v>
      </c>
      <c r="AH67" s="94">
        <f t="shared" si="32"/>
        <v>2.841727432488583</v>
      </c>
      <c r="AI67" s="66"/>
      <c r="AJ67" s="175">
        <v>2.45</v>
      </c>
      <c r="AK67" s="175">
        <v>3.24</v>
      </c>
      <c r="AL67" s="175">
        <v>2.9075628137844634</v>
      </c>
      <c r="AM67" s="157"/>
    </row>
    <row r="68" spans="1:39" ht="15" customHeight="1">
      <c r="A68" s="3" t="s">
        <v>68</v>
      </c>
      <c r="B68" s="88">
        <f t="shared" si="33"/>
        <v>1328.0000000000002</v>
      </c>
      <c r="C68" s="88">
        <f t="shared" si="33"/>
        <v>1323.8821209745208</v>
      </c>
      <c r="D68" s="88">
        <f t="shared" si="34"/>
        <v>1323.507690381756</v>
      </c>
      <c r="E68" s="89">
        <f t="shared" si="35"/>
        <v>1317.5428731336058</v>
      </c>
      <c r="F68" s="92">
        <f t="shared" si="13"/>
        <v>1317.5428731336058</v>
      </c>
      <c r="G68" s="109">
        <v>139</v>
      </c>
      <c r="H68" s="110" t="s">
        <v>137</v>
      </c>
      <c r="I68" s="111">
        <f t="shared" si="24"/>
        <v>0.008</v>
      </c>
      <c r="J68" s="112">
        <f t="shared" si="14"/>
        <v>106.4016031593282</v>
      </c>
      <c r="K68" s="113">
        <f t="shared" si="25"/>
        <v>147.6446118</v>
      </c>
      <c r="L68" s="114">
        <f t="shared" si="15"/>
        <v>0.7206602520887132</v>
      </c>
      <c r="M68" s="97">
        <f t="shared" si="20"/>
        <v>7.206602520887132</v>
      </c>
      <c r="N68" s="175">
        <f t="shared" si="26"/>
        <v>3.450544405559244</v>
      </c>
      <c r="O68" s="94" t="e">
        <f t="shared" si="31"/>
        <v>#N/A</v>
      </c>
      <c r="P68" s="94" t="e">
        <f t="shared" si="31"/>
        <v>#N/A</v>
      </c>
      <c r="Q68" s="94">
        <f t="shared" si="31"/>
        <v>3.450544405559244</v>
      </c>
      <c r="R68" s="94" t="e">
        <f t="shared" si="31"/>
        <v>#N/A</v>
      </c>
      <c r="S68" s="66"/>
      <c r="T68" s="175">
        <v>3.2</v>
      </c>
      <c r="U68" s="175">
        <v>4.04</v>
      </c>
      <c r="V68" s="175">
        <v>3.709867748195349</v>
      </c>
      <c r="W68" s="186">
        <v>74</v>
      </c>
      <c r="X68" s="110" t="s">
        <v>141</v>
      </c>
      <c r="Y68" s="111">
        <f t="shared" si="27"/>
        <v>0.007</v>
      </c>
      <c r="Z68" s="112">
        <f t="shared" si="17"/>
        <v>121.79649352783967</v>
      </c>
      <c r="AA68" s="113">
        <f t="shared" si="28"/>
        <v>281.227832</v>
      </c>
      <c r="AB68" s="114">
        <f t="shared" si="16"/>
        <v>0.4330883350401808</v>
      </c>
      <c r="AC68" s="97">
        <f t="shared" si="29"/>
        <v>4.330883350401808</v>
      </c>
      <c r="AD68" s="175">
        <f t="shared" si="30"/>
        <v>3.0240595605390905</v>
      </c>
      <c r="AE68" s="94" t="e">
        <f t="shared" si="32"/>
        <v>#N/A</v>
      </c>
      <c r="AF68" s="94" t="e">
        <f t="shared" si="32"/>
        <v>#N/A</v>
      </c>
      <c r="AG68" s="94" t="e">
        <f t="shared" si="32"/>
        <v>#N/A</v>
      </c>
      <c r="AH68" s="94">
        <f t="shared" si="32"/>
        <v>3.0240595605390905</v>
      </c>
      <c r="AI68" s="66"/>
      <c r="AJ68" s="175">
        <v>2.55</v>
      </c>
      <c r="AK68" s="175">
        <v>3.45</v>
      </c>
      <c r="AL68" s="175">
        <v>3.05</v>
      </c>
      <c r="AM68" s="157" t="s">
        <v>69</v>
      </c>
    </row>
    <row r="69" spans="5:42" s="117" customFormat="1" ht="15" customHeight="1">
      <c r="E69" s="139"/>
      <c r="F69" s="160"/>
      <c r="G69" s="161"/>
      <c r="H69" s="162"/>
      <c r="I69" s="163"/>
      <c r="J69" s="164"/>
      <c r="K69" s="161" t="s">
        <v>98</v>
      </c>
      <c r="L69" s="161"/>
      <c r="M69" s="161"/>
      <c r="N69" s="165">
        <f>SUM(N8:N68)*$P$3</f>
        <v>626.5442199511409</v>
      </c>
      <c r="O69" s="165"/>
      <c r="P69" s="165"/>
      <c r="Q69" s="165"/>
      <c r="R69" s="165"/>
      <c r="S69" s="166"/>
      <c r="T69" s="165"/>
      <c r="U69" s="167"/>
      <c r="V69" s="167"/>
      <c r="W69" s="161"/>
      <c r="X69" s="163"/>
      <c r="Y69" s="163"/>
      <c r="Z69" s="167"/>
      <c r="AA69" s="161" t="s">
        <v>126</v>
      </c>
      <c r="AB69" s="161"/>
      <c r="AC69" s="161"/>
      <c r="AD69" s="165">
        <f>SUM(AD8:AD68)</f>
        <v>228.23829219866764</v>
      </c>
      <c r="AE69" s="165"/>
      <c r="AF69" s="165"/>
      <c r="AG69" s="165"/>
      <c r="AH69" s="168"/>
      <c r="AI69" s="169"/>
      <c r="AJ69" s="168"/>
      <c r="AK69" s="119"/>
      <c r="AL69" s="119"/>
      <c r="AM69" s="118"/>
      <c r="AP69" s="170"/>
    </row>
    <row r="70" spans="5:35" s="117" customFormat="1" ht="15" customHeight="1">
      <c r="E70" s="139"/>
      <c r="G70" s="161"/>
      <c r="H70" s="161"/>
      <c r="I70" s="161"/>
      <c r="J70" s="161"/>
      <c r="K70" s="161"/>
      <c r="L70" s="161"/>
      <c r="M70" s="161"/>
      <c r="N70" s="161"/>
      <c r="O70" s="161"/>
      <c r="P70" s="161" t="s">
        <v>128</v>
      </c>
      <c r="Q70" s="161"/>
      <c r="R70" s="161"/>
      <c r="S70" s="171"/>
      <c r="T70" s="161"/>
      <c r="U70" s="172">
        <f>N69+AD69</f>
        <v>854.7825121498086</v>
      </c>
      <c r="V70" s="161" t="s">
        <v>127</v>
      </c>
      <c r="W70" s="119"/>
      <c r="X70" s="167"/>
      <c r="Y70" s="161"/>
      <c r="Z70" s="161"/>
      <c r="AA70" s="161"/>
      <c r="AB70" s="161"/>
      <c r="AC70" s="161"/>
      <c r="AD70" s="161"/>
      <c r="AE70" s="161"/>
      <c r="AF70" s="161"/>
      <c r="AG70" s="161"/>
      <c r="AI70" s="121"/>
    </row>
    <row r="71" spans="1:42" ht="15" customHeight="1">
      <c r="A71" s="2"/>
      <c r="B71" s="2"/>
      <c r="C71" s="2"/>
      <c r="D71" s="2"/>
      <c r="E71" s="1"/>
      <c r="G71" s="6"/>
      <c r="H71" s="57"/>
      <c r="I71" s="58"/>
      <c r="J71" s="59"/>
      <c r="K71" s="60"/>
      <c r="L71" s="61"/>
      <c r="M71" s="61"/>
      <c r="N71" s="176"/>
      <c r="O71" s="62"/>
      <c r="P71" s="62"/>
      <c r="Q71" s="62"/>
      <c r="R71" s="62"/>
      <c r="S71" s="61"/>
      <c r="T71" s="48"/>
      <c r="U71" s="48"/>
      <c r="V71" s="48"/>
      <c r="W71" s="63"/>
      <c r="X71" s="48"/>
      <c r="Y71" s="48"/>
      <c r="Z71" s="48"/>
      <c r="AA71" s="61"/>
      <c r="AB71" s="61"/>
      <c r="AC71" s="61"/>
      <c r="AD71" s="176"/>
      <c r="AE71" s="62"/>
      <c r="AF71" s="62"/>
      <c r="AG71" s="62"/>
      <c r="AH71" s="46"/>
      <c r="AI71" s="2"/>
      <c r="AJ71" s="177"/>
      <c r="AK71" s="177"/>
      <c r="AL71" s="177"/>
      <c r="AM71" s="191"/>
      <c r="AN71" s="2"/>
      <c r="AP71" s="29"/>
    </row>
    <row r="72" spans="1:42" ht="15" customHeight="1">
      <c r="A72" s="2"/>
      <c r="B72" s="2"/>
      <c r="C72" s="2"/>
      <c r="D72" s="2"/>
      <c r="E72" s="1"/>
      <c r="G72" s="6"/>
      <c r="H72" s="57"/>
      <c r="I72" s="48"/>
      <c r="J72" s="59"/>
      <c r="K72" s="60"/>
      <c r="L72" s="61"/>
      <c r="M72" s="61"/>
      <c r="N72" s="176"/>
      <c r="O72" s="62"/>
      <c r="P72" s="62"/>
      <c r="Q72" s="62"/>
      <c r="R72" s="62"/>
      <c r="S72" s="61"/>
      <c r="T72" s="48"/>
      <c r="U72" s="48"/>
      <c r="V72" s="48"/>
      <c r="W72" s="47"/>
      <c r="X72" s="57"/>
      <c r="Y72" s="48"/>
      <c r="Z72" s="59"/>
      <c r="AA72" s="60"/>
      <c r="AB72" s="61"/>
      <c r="AC72" s="61"/>
      <c r="AD72" s="176"/>
      <c r="AE72" s="62"/>
      <c r="AF72" s="62"/>
      <c r="AG72" s="62"/>
      <c r="AH72" s="46"/>
      <c r="AI72" s="2"/>
      <c r="AJ72" s="177"/>
      <c r="AK72" s="177"/>
      <c r="AL72" s="177"/>
      <c r="AM72" s="191"/>
      <c r="AN72" s="2"/>
      <c r="AP72" s="29"/>
    </row>
    <row r="73" spans="1:40" ht="15" customHeight="1">
      <c r="A73" s="2"/>
      <c r="B73" s="2"/>
      <c r="C73" s="2"/>
      <c r="D73" s="2"/>
      <c r="E73" s="1"/>
      <c r="G73" s="6"/>
      <c r="H73" s="57"/>
      <c r="I73" s="48"/>
      <c r="J73" s="59"/>
      <c r="K73" s="60"/>
      <c r="L73" s="61"/>
      <c r="M73" s="61"/>
      <c r="N73" s="176"/>
      <c r="O73" s="62"/>
      <c r="P73" s="62"/>
      <c r="Q73" s="62"/>
      <c r="R73" s="62"/>
      <c r="S73" s="61"/>
      <c r="T73" s="48"/>
      <c r="U73" s="48"/>
      <c r="V73" s="48"/>
      <c r="W73" s="47"/>
      <c r="X73" s="57"/>
      <c r="Y73" s="48"/>
      <c r="Z73" s="59"/>
      <c r="AA73" s="61"/>
      <c r="AB73" s="61"/>
      <c r="AC73" s="61"/>
      <c r="AD73" s="176"/>
      <c r="AE73" s="62"/>
      <c r="AF73" s="62"/>
      <c r="AG73" s="62"/>
      <c r="AH73" s="46"/>
      <c r="AI73" s="2"/>
      <c r="AJ73" s="177"/>
      <c r="AK73" s="177"/>
      <c r="AL73" s="177"/>
      <c r="AM73" s="191"/>
      <c r="AN73" s="2"/>
    </row>
    <row r="74" spans="1:50" ht="15" customHeight="1">
      <c r="A74" s="2"/>
      <c r="B74" s="2"/>
      <c r="C74" s="2"/>
      <c r="D74" s="2"/>
      <c r="E74" s="1"/>
      <c r="H74" s="1"/>
      <c r="I74" s="11"/>
      <c r="J74" s="24"/>
      <c r="K74" s="22"/>
      <c r="L74" s="2"/>
      <c r="M74" s="2"/>
      <c r="N74" s="177"/>
      <c r="O74" s="46"/>
      <c r="P74" s="46"/>
      <c r="Q74" s="46"/>
      <c r="R74" s="46"/>
      <c r="S74" s="2"/>
      <c r="T74" s="11"/>
      <c r="U74" s="48"/>
      <c r="V74" s="48"/>
      <c r="X74" s="1"/>
      <c r="Y74" s="11"/>
      <c r="Z74" s="24"/>
      <c r="AA74" s="2"/>
      <c r="AB74" s="2"/>
      <c r="AC74" s="2"/>
      <c r="AD74" s="177"/>
      <c r="AE74" s="46"/>
      <c r="AF74" s="46"/>
      <c r="AG74" s="46"/>
      <c r="AH74" s="46"/>
      <c r="AI74" s="2"/>
      <c r="AJ74" s="177"/>
      <c r="AK74" s="177"/>
      <c r="AL74" s="177"/>
      <c r="AM74" s="191"/>
      <c r="AN74" s="2"/>
      <c r="AQ74" s="28"/>
      <c r="AR74" s="28"/>
      <c r="AS74" s="28"/>
      <c r="AT74" s="28"/>
      <c r="AU74" s="28"/>
      <c r="AV74" s="28"/>
      <c r="AW74" s="28"/>
      <c r="AX74" s="28"/>
    </row>
    <row r="75" spans="1:40" ht="15" customHeight="1">
      <c r="A75" s="2"/>
      <c r="B75" s="2"/>
      <c r="C75" s="2"/>
      <c r="D75" s="2"/>
      <c r="E75" s="1"/>
      <c r="F75" s="1"/>
      <c r="G75" s="2"/>
      <c r="H75" s="24"/>
      <c r="I75" s="39"/>
      <c r="J75" s="25"/>
      <c r="K75" s="2"/>
      <c r="L75" s="2"/>
      <c r="M75" s="2"/>
      <c r="N75" s="177"/>
      <c r="O75" s="46"/>
      <c r="P75" s="46"/>
      <c r="Q75" s="46"/>
      <c r="R75" s="46"/>
      <c r="S75" s="2"/>
      <c r="T75" s="11"/>
      <c r="U75" s="48"/>
      <c r="V75" s="48"/>
      <c r="W75" s="11"/>
      <c r="X75" s="11"/>
      <c r="Y75" s="11"/>
      <c r="Z75" s="11"/>
      <c r="AA75" s="2"/>
      <c r="AB75" s="2"/>
      <c r="AC75" s="2"/>
      <c r="AD75" s="177"/>
      <c r="AE75" s="46"/>
      <c r="AF75" s="46"/>
      <c r="AG75" s="46"/>
      <c r="AH75" s="46"/>
      <c r="AI75" s="2"/>
      <c r="AJ75" s="177"/>
      <c r="AK75" s="177"/>
      <c r="AL75" s="177"/>
      <c r="AM75" s="191"/>
      <c r="AN75" s="2"/>
    </row>
    <row r="76" spans="1:40" ht="15" customHeight="1">
      <c r="A76" s="2"/>
      <c r="B76" s="2"/>
      <c r="C76" s="2"/>
      <c r="D76" s="2"/>
      <c r="E76" s="1"/>
      <c r="F76" s="1"/>
      <c r="G76" s="2"/>
      <c r="H76" s="8"/>
      <c r="I76" s="39"/>
      <c r="J76" s="2"/>
      <c r="K76" s="2"/>
      <c r="L76" s="2"/>
      <c r="M76" s="2"/>
      <c r="N76" s="177"/>
      <c r="O76" s="46"/>
      <c r="P76" s="46"/>
      <c r="Q76" s="46"/>
      <c r="R76" s="46"/>
      <c r="S76" s="2"/>
      <c r="T76" s="11"/>
      <c r="U76" s="48"/>
      <c r="V76" s="48"/>
      <c r="W76" s="11"/>
      <c r="X76" s="11"/>
      <c r="Y76" s="11"/>
      <c r="Z76" s="11"/>
      <c r="AA76" s="2"/>
      <c r="AB76" s="2"/>
      <c r="AC76" s="2"/>
      <c r="AD76" s="177"/>
      <c r="AE76" s="46"/>
      <c r="AF76" s="46"/>
      <c r="AG76" s="46"/>
      <c r="AH76" s="46"/>
      <c r="AI76" s="2"/>
      <c r="AJ76" s="177"/>
      <c r="AK76" s="177"/>
      <c r="AL76" s="177"/>
      <c r="AM76" s="191"/>
      <c r="AN76" s="2"/>
    </row>
    <row r="77" spans="1:40" ht="15" customHeight="1">
      <c r="A77" s="2"/>
      <c r="B77" s="2"/>
      <c r="C77" s="2"/>
      <c r="D77" s="2"/>
      <c r="E77" s="1"/>
      <c r="F77" s="1"/>
      <c r="G77" s="2"/>
      <c r="H77" s="8"/>
      <c r="I77" s="39"/>
      <c r="J77" s="2"/>
      <c r="K77" s="2"/>
      <c r="L77" s="2"/>
      <c r="M77" s="2"/>
      <c r="N77" s="177"/>
      <c r="O77" s="46"/>
      <c r="P77" s="46"/>
      <c r="Q77" s="46"/>
      <c r="R77" s="46"/>
      <c r="S77" s="2"/>
      <c r="T77" s="11"/>
      <c r="U77" s="48"/>
      <c r="V77" s="48"/>
      <c r="W77" s="11"/>
      <c r="X77" s="11"/>
      <c r="Y77" s="11"/>
      <c r="Z77" s="11"/>
      <c r="AA77" s="2"/>
      <c r="AB77" s="2"/>
      <c r="AC77" s="2"/>
      <c r="AD77" s="177"/>
      <c r="AE77" s="46"/>
      <c r="AF77" s="46"/>
      <c r="AG77" s="46"/>
      <c r="AH77" s="46"/>
      <c r="AI77" s="2"/>
      <c r="AJ77" s="177"/>
      <c r="AK77" s="177"/>
      <c r="AL77" s="177"/>
      <c r="AM77" s="191"/>
      <c r="AN77" s="2"/>
    </row>
    <row r="78" spans="1:40" ht="15" customHeight="1">
      <c r="A78" s="2"/>
      <c r="B78" s="2"/>
      <c r="C78" s="2"/>
      <c r="D78" s="2"/>
      <c r="E78" s="1"/>
      <c r="F78" s="1"/>
      <c r="G78" s="2"/>
      <c r="H78" s="8"/>
      <c r="I78" s="39"/>
      <c r="J78" s="2"/>
      <c r="K78" s="2"/>
      <c r="L78" s="2"/>
      <c r="M78" s="2"/>
      <c r="N78" s="177"/>
      <c r="O78" s="46"/>
      <c r="P78" s="46"/>
      <c r="Q78" s="46"/>
      <c r="R78" s="46"/>
      <c r="S78" s="2"/>
      <c r="T78" s="11"/>
      <c r="U78" s="48"/>
      <c r="V78" s="48"/>
      <c r="W78" s="11"/>
      <c r="X78" s="11"/>
      <c r="Y78" s="11"/>
      <c r="Z78" s="11"/>
      <c r="AA78" s="2"/>
      <c r="AB78" s="2"/>
      <c r="AC78" s="2"/>
      <c r="AD78" s="177"/>
      <c r="AE78" s="46"/>
      <c r="AF78" s="46"/>
      <c r="AG78" s="46"/>
      <c r="AH78" s="46"/>
      <c r="AI78" s="2"/>
      <c r="AJ78" s="177"/>
      <c r="AK78" s="177"/>
      <c r="AL78" s="177"/>
      <c r="AM78" s="191"/>
      <c r="AN78" s="2"/>
    </row>
    <row r="79" spans="1:40" ht="15" customHeight="1">
      <c r="A79" s="2"/>
      <c r="B79" s="2"/>
      <c r="C79" s="2"/>
      <c r="D79" s="2"/>
      <c r="E79" s="1"/>
      <c r="F79" s="1"/>
      <c r="G79" s="2"/>
      <c r="H79" s="8"/>
      <c r="I79" s="39"/>
      <c r="J79" s="2"/>
      <c r="K79" s="2"/>
      <c r="L79" s="2"/>
      <c r="M79" s="2"/>
      <c r="N79" s="177"/>
      <c r="O79" s="46"/>
      <c r="P79" s="46"/>
      <c r="Q79" s="46"/>
      <c r="R79" s="46"/>
      <c r="S79" s="2"/>
      <c r="T79" s="11"/>
      <c r="U79" s="48"/>
      <c r="V79" s="48"/>
      <c r="W79" s="11"/>
      <c r="X79" s="11"/>
      <c r="Y79" s="11"/>
      <c r="Z79" s="11"/>
      <c r="AA79" s="2"/>
      <c r="AB79" s="2"/>
      <c r="AC79" s="2"/>
      <c r="AD79" s="177"/>
      <c r="AE79" s="46"/>
      <c r="AF79" s="46"/>
      <c r="AG79" s="46"/>
      <c r="AH79" s="46"/>
      <c r="AI79" s="2"/>
      <c r="AJ79" s="177"/>
      <c r="AK79" s="177"/>
      <c r="AL79" s="177"/>
      <c r="AM79" s="191"/>
      <c r="AN79" s="2"/>
    </row>
    <row r="80" spans="1:40" ht="15" customHeight="1">
      <c r="A80" s="2"/>
      <c r="B80" s="2"/>
      <c r="C80" s="2"/>
      <c r="D80" s="2"/>
      <c r="E80" s="1"/>
      <c r="F80" s="1"/>
      <c r="G80" s="2"/>
      <c r="H80" s="8"/>
      <c r="I80" s="39"/>
      <c r="J80" s="2"/>
      <c r="K80" s="2"/>
      <c r="L80" s="2"/>
      <c r="M80" s="2"/>
      <c r="N80" s="177"/>
      <c r="O80" s="46"/>
      <c r="P80" s="46"/>
      <c r="Q80" s="46"/>
      <c r="R80" s="46"/>
      <c r="S80" s="2"/>
      <c r="T80" s="11"/>
      <c r="U80" s="48"/>
      <c r="V80" s="48"/>
      <c r="W80" s="11"/>
      <c r="X80" s="11"/>
      <c r="Y80" s="11"/>
      <c r="Z80" s="11"/>
      <c r="AA80" s="2"/>
      <c r="AB80" s="2"/>
      <c r="AC80" s="2"/>
      <c r="AD80" s="177"/>
      <c r="AE80" s="46"/>
      <c r="AF80" s="46"/>
      <c r="AG80" s="46"/>
      <c r="AH80" s="46"/>
      <c r="AI80" s="2"/>
      <c r="AJ80" s="177"/>
      <c r="AK80" s="177"/>
      <c r="AL80" s="177"/>
      <c r="AM80" s="191"/>
      <c r="AN80" s="2"/>
    </row>
    <row r="81" spans="1:40" ht="15" customHeight="1">
      <c r="A81" s="2"/>
      <c r="B81" s="2"/>
      <c r="C81" s="2"/>
      <c r="D81" s="2"/>
      <c r="E81" s="1"/>
      <c r="F81" s="1"/>
      <c r="G81" s="2"/>
      <c r="H81" s="8"/>
      <c r="I81" s="39"/>
      <c r="J81" s="2"/>
      <c r="K81" s="2"/>
      <c r="L81" s="2"/>
      <c r="M81" s="2"/>
      <c r="N81" s="177"/>
      <c r="O81" s="46"/>
      <c r="P81" s="46"/>
      <c r="Q81" s="46"/>
      <c r="R81" s="46"/>
      <c r="S81" s="2"/>
      <c r="T81" s="11"/>
      <c r="U81" s="48"/>
      <c r="V81" s="48"/>
      <c r="W81" s="11"/>
      <c r="X81" s="11"/>
      <c r="Y81" s="11"/>
      <c r="Z81" s="11"/>
      <c r="AA81" s="2"/>
      <c r="AB81" s="2"/>
      <c r="AC81" s="2"/>
      <c r="AD81" s="177"/>
      <c r="AE81" s="46"/>
      <c r="AF81" s="46"/>
      <c r="AG81" s="46"/>
      <c r="AH81" s="46"/>
      <c r="AI81" s="2"/>
      <c r="AJ81" s="177"/>
      <c r="AK81" s="177"/>
      <c r="AL81" s="177"/>
      <c r="AM81" s="191"/>
      <c r="AN81" s="2"/>
    </row>
    <row r="82" spans="1:40" ht="15" customHeight="1">
      <c r="A82" s="2"/>
      <c r="B82" s="2"/>
      <c r="C82" s="2"/>
      <c r="D82" s="2"/>
      <c r="E82" s="1"/>
      <c r="F82" s="1"/>
      <c r="G82" s="2"/>
      <c r="H82" s="8"/>
      <c r="I82" s="39"/>
      <c r="J82" s="2"/>
      <c r="K82" s="2"/>
      <c r="L82" s="2"/>
      <c r="M82" s="2"/>
      <c r="N82" s="177"/>
      <c r="O82" s="46"/>
      <c r="P82" s="46"/>
      <c r="Q82" s="46"/>
      <c r="R82" s="46"/>
      <c r="S82" s="2"/>
      <c r="T82" s="11"/>
      <c r="U82" s="48"/>
      <c r="V82" s="48"/>
      <c r="W82" s="11"/>
      <c r="X82" s="11"/>
      <c r="Y82" s="11"/>
      <c r="Z82" s="11"/>
      <c r="AA82" s="2"/>
      <c r="AB82" s="2"/>
      <c r="AC82" s="2"/>
      <c r="AD82" s="177"/>
      <c r="AE82" s="46"/>
      <c r="AF82" s="46"/>
      <c r="AG82" s="46"/>
      <c r="AH82" s="46"/>
      <c r="AI82" s="2"/>
      <c r="AJ82" s="177"/>
      <c r="AK82" s="177"/>
      <c r="AL82" s="177"/>
      <c r="AM82" s="191"/>
      <c r="AN82" s="2"/>
    </row>
    <row r="83" spans="1:40" ht="15" customHeight="1">
      <c r="A83" s="2"/>
      <c r="B83" s="2"/>
      <c r="C83" s="2"/>
      <c r="D83" s="2"/>
      <c r="E83" s="1"/>
      <c r="F83" s="1"/>
      <c r="G83" s="2"/>
      <c r="H83" s="8"/>
      <c r="I83" s="39"/>
      <c r="J83" s="2"/>
      <c r="K83" s="2"/>
      <c r="L83" s="2"/>
      <c r="M83" s="2"/>
      <c r="N83" s="177"/>
      <c r="O83" s="46"/>
      <c r="P83" s="46"/>
      <c r="Q83" s="46"/>
      <c r="R83" s="46"/>
      <c r="S83" s="2"/>
      <c r="T83" s="11"/>
      <c r="U83" s="48"/>
      <c r="V83" s="48"/>
      <c r="W83" s="11"/>
      <c r="X83" s="11"/>
      <c r="Y83" s="11"/>
      <c r="Z83" s="11"/>
      <c r="AA83" s="2"/>
      <c r="AB83" s="2"/>
      <c r="AC83" s="2"/>
      <c r="AD83" s="177"/>
      <c r="AE83" s="46"/>
      <c r="AF83" s="46"/>
      <c r="AG83" s="46"/>
      <c r="AH83" s="46"/>
      <c r="AI83" s="2"/>
      <c r="AJ83" s="177"/>
      <c r="AK83" s="177"/>
      <c r="AL83" s="177"/>
      <c r="AM83" s="191"/>
      <c r="AN83" s="2"/>
    </row>
    <row r="84" spans="1:40" ht="15" customHeight="1">
      <c r="A84" s="2"/>
      <c r="B84" s="2"/>
      <c r="C84" s="2"/>
      <c r="D84" s="2"/>
      <c r="E84" s="1"/>
      <c r="F84" s="1"/>
      <c r="G84" s="2"/>
      <c r="H84" s="8"/>
      <c r="I84" s="39"/>
      <c r="J84" s="2"/>
      <c r="K84" s="2"/>
      <c r="L84" s="2"/>
      <c r="M84" s="2"/>
      <c r="N84" s="177"/>
      <c r="O84" s="46"/>
      <c r="P84" s="46"/>
      <c r="Q84" s="46"/>
      <c r="R84" s="46"/>
      <c r="S84" s="2"/>
      <c r="T84" s="11"/>
      <c r="U84" s="48"/>
      <c r="V84" s="48"/>
      <c r="W84" s="11"/>
      <c r="X84" s="11"/>
      <c r="Y84" s="11"/>
      <c r="Z84" s="11"/>
      <c r="AA84" s="2"/>
      <c r="AB84" s="2"/>
      <c r="AC84" s="2"/>
      <c r="AD84" s="177"/>
      <c r="AE84" s="46"/>
      <c r="AF84" s="46"/>
      <c r="AG84" s="46"/>
      <c r="AH84" s="46"/>
      <c r="AI84" s="2"/>
      <c r="AJ84" s="177"/>
      <c r="AK84" s="177"/>
      <c r="AL84" s="177"/>
      <c r="AM84" s="191"/>
      <c r="AN84" s="2"/>
    </row>
    <row r="85" spans="1:40" ht="15" customHeight="1">
      <c r="A85" s="2"/>
      <c r="B85" s="2"/>
      <c r="C85" s="2"/>
      <c r="D85" s="2"/>
      <c r="E85" s="1"/>
      <c r="F85" s="1"/>
      <c r="G85" s="2"/>
      <c r="H85" s="8"/>
      <c r="I85" s="39"/>
      <c r="J85" s="2"/>
      <c r="K85" s="2"/>
      <c r="L85" s="2"/>
      <c r="M85" s="2"/>
      <c r="N85" s="177"/>
      <c r="O85" s="46"/>
      <c r="P85" s="46"/>
      <c r="Q85" s="46"/>
      <c r="R85" s="46"/>
      <c r="S85" s="2"/>
      <c r="T85" s="11"/>
      <c r="U85" s="48"/>
      <c r="V85" s="48"/>
      <c r="W85" s="11"/>
      <c r="X85" s="11"/>
      <c r="Y85" s="11"/>
      <c r="Z85" s="11"/>
      <c r="AA85" s="2"/>
      <c r="AB85" s="2"/>
      <c r="AC85" s="2"/>
      <c r="AD85" s="177"/>
      <c r="AE85" s="46"/>
      <c r="AF85" s="46"/>
      <c r="AG85" s="46"/>
      <c r="AH85" s="46"/>
      <c r="AI85" s="2"/>
      <c r="AJ85" s="177"/>
      <c r="AK85" s="177"/>
      <c r="AL85" s="177"/>
      <c r="AM85" s="191"/>
      <c r="AN85" s="2"/>
    </row>
    <row r="86" spans="1:40" ht="15" customHeight="1">
      <c r="A86" s="2"/>
      <c r="B86" s="2"/>
      <c r="C86" s="2"/>
      <c r="D86" s="2"/>
      <c r="E86" s="1"/>
      <c r="F86" s="1"/>
      <c r="G86" s="2"/>
      <c r="H86" s="8"/>
      <c r="I86" s="39"/>
      <c r="J86" s="2"/>
      <c r="K86" s="2"/>
      <c r="L86" s="2"/>
      <c r="M86" s="2"/>
      <c r="N86" s="177"/>
      <c r="O86" s="46"/>
      <c r="P86" s="46"/>
      <c r="Q86" s="46"/>
      <c r="R86" s="46"/>
      <c r="S86" s="2"/>
      <c r="T86" s="11"/>
      <c r="U86" s="48"/>
      <c r="V86" s="48"/>
      <c r="W86" s="11"/>
      <c r="X86" s="11"/>
      <c r="Y86" s="11"/>
      <c r="Z86" s="11"/>
      <c r="AA86" s="2"/>
      <c r="AB86" s="2"/>
      <c r="AC86" s="2"/>
      <c r="AD86" s="177"/>
      <c r="AE86" s="46"/>
      <c r="AF86" s="46"/>
      <c r="AG86" s="46"/>
      <c r="AH86" s="46"/>
      <c r="AI86" s="2"/>
      <c r="AJ86" s="177"/>
      <c r="AK86" s="177"/>
      <c r="AL86" s="177"/>
      <c r="AM86" s="191"/>
      <c r="AN86" s="2"/>
    </row>
    <row r="87" spans="1:40" ht="15" customHeight="1">
      <c r="A87" s="2"/>
      <c r="B87" s="2"/>
      <c r="C87" s="2"/>
      <c r="D87" s="2"/>
      <c r="E87" s="1"/>
      <c r="F87" s="1"/>
      <c r="G87" s="2"/>
      <c r="H87" s="8"/>
      <c r="I87" s="39"/>
      <c r="J87" s="2"/>
      <c r="K87" s="2"/>
      <c r="L87" s="2"/>
      <c r="M87" s="2"/>
      <c r="N87" s="177"/>
      <c r="O87" s="46"/>
      <c r="P87" s="46"/>
      <c r="Q87" s="46"/>
      <c r="R87" s="46"/>
      <c r="S87" s="2"/>
      <c r="T87" s="11"/>
      <c r="U87" s="48"/>
      <c r="V87" s="48"/>
      <c r="W87" s="11"/>
      <c r="X87" s="11"/>
      <c r="Y87" s="11"/>
      <c r="Z87" s="11"/>
      <c r="AA87" s="2"/>
      <c r="AB87" s="2"/>
      <c r="AC87" s="2"/>
      <c r="AD87" s="177"/>
      <c r="AE87" s="46"/>
      <c r="AF87" s="46"/>
      <c r="AG87" s="46"/>
      <c r="AH87" s="46"/>
      <c r="AI87" s="2"/>
      <c r="AJ87" s="177"/>
      <c r="AK87" s="177"/>
      <c r="AL87" s="177"/>
      <c r="AM87" s="191"/>
      <c r="AN87" s="2"/>
    </row>
    <row r="88" spans="1:40" ht="15" customHeight="1">
      <c r="A88" s="2"/>
      <c r="B88" s="2"/>
      <c r="C88" s="2"/>
      <c r="D88" s="2"/>
      <c r="E88" s="1"/>
      <c r="F88" s="1"/>
      <c r="G88" s="2"/>
      <c r="H88" s="8"/>
      <c r="I88" s="39"/>
      <c r="J88" s="2"/>
      <c r="K88" s="2"/>
      <c r="L88" s="2"/>
      <c r="M88" s="2"/>
      <c r="N88" s="177"/>
      <c r="O88" s="46"/>
      <c r="P88" s="46"/>
      <c r="Q88" s="46"/>
      <c r="R88" s="46"/>
      <c r="S88" s="2"/>
      <c r="T88" s="11"/>
      <c r="U88" s="48"/>
      <c r="V88" s="48"/>
      <c r="W88" s="11"/>
      <c r="X88" s="11"/>
      <c r="Y88" s="11"/>
      <c r="Z88" s="11"/>
      <c r="AA88" s="2"/>
      <c r="AB88" s="2"/>
      <c r="AC88" s="2"/>
      <c r="AD88" s="177"/>
      <c r="AE88" s="46"/>
      <c r="AF88" s="46"/>
      <c r="AG88" s="46"/>
      <c r="AH88" s="46"/>
      <c r="AI88" s="2"/>
      <c r="AJ88" s="177"/>
      <c r="AK88" s="177"/>
      <c r="AL88" s="177"/>
      <c r="AM88" s="191"/>
      <c r="AN88" s="2"/>
    </row>
    <row r="89" spans="1:40" ht="15" customHeight="1">
      <c r="A89" s="2"/>
      <c r="B89" s="2"/>
      <c r="C89" s="2"/>
      <c r="D89" s="2"/>
      <c r="E89" s="1"/>
      <c r="F89" s="1"/>
      <c r="G89" s="2"/>
      <c r="H89" s="8"/>
      <c r="I89" s="39"/>
      <c r="J89" s="2"/>
      <c r="K89" s="2"/>
      <c r="L89" s="2"/>
      <c r="M89" s="2"/>
      <c r="N89" s="177"/>
      <c r="O89" s="46"/>
      <c r="P89" s="46"/>
      <c r="Q89" s="46"/>
      <c r="R89" s="46"/>
      <c r="S89" s="2"/>
      <c r="T89" s="11"/>
      <c r="U89" s="48"/>
      <c r="V89" s="48"/>
      <c r="W89" s="11"/>
      <c r="X89" s="11"/>
      <c r="Y89" s="11"/>
      <c r="Z89" s="11"/>
      <c r="AA89" s="2"/>
      <c r="AB89" s="2"/>
      <c r="AC89" s="2"/>
      <c r="AD89" s="177"/>
      <c r="AE89" s="46"/>
      <c r="AF89" s="46"/>
      <c r="AG89" s="46"/>
      <c r="AH89" s="46"/>
      <c r="AI89" s="2"/>
      <c r="AJ89" s="177"/>
      <c r="AK89" s="177"/>
      <c r="AL89" s="177"/>
      <c r="AM89" s="191"/>
      <c r="AN89" s="2"/>
    </row>
    <row r="90" spans="1:40" ht="15" customHeight="1">
      <c r="A90" s="2"/>
      <c r="B90" s="2"/>
      <c r="C90" s="2"/>
      <c r="D90" s="2"/>
      <c r="E90" s="1"/>
      <c r="F90" s="1"/>
      <c r="G90" s="2"/>
      <c r="H90" s="8"/>
      <c r="I90" s="39"/>
      <c r="J90" s="2"/>
      <c r="K90" s="2"/>
      <c r="L90" s="2"/>
      <c r="M90" s="2"/>
      <c r="N90" s="177"/>
      <c r="O90" s="46"/>
      <c r="P90" s="46"/>
      <c r="Q90" s="46"/>
      <c r="R90" s="46"/>
      <c r="S90" s="2"/>
      <c r="T90" s="11"/>
      <c r="U90" s="48"/>
      <c r="V90" s="48"/>
      <c r="W90" s="11"/>
      <c r="X90" s="11"/>
      <c r="Y90" s="11"/>
      <c r="Z90" s="11"/>
      <c r="AA90" s="2"/>
      <c r="AB90" s="2"/>
      <c r="AC90" s="2"/>
      <c r="AD90" s="177"/>
      <c r="AE90" s="46"/>
      <c r="AF90" s="46"/>
      <c r="AG90" s="46"/>
      <c r="AH90" s="46"/>
      <c r="AI90" s="2"/>
      <c r="AJ90" s="177"/>
      <c r="AK90" s="177"/>
      <c r="AL90" s="177"/>
      <c r="AM90" s="191"/>
      <c r="AN90" s="2"/>
    </row>
    <row r="91" spans="1:40" ht="15" customHeight="1">
      <c r="A91" s="2"/>
      <c r="B91" s="2"/>
      <c r="C91" s="2"/>
      <c r="D91" s="2"/>
      <c r="E91" s="1"/>
      <c r="F91" s="1"/>
      <c r="G91" s="2"/>
      <c r="H91" s="8"/>
      <c r="I91" s="39"/>
      <c r="J91" s="2"/>
      <c r="K91" s="2"/>
      <c r="L91" s="2"/>
      <c r="M91" s="2"/>
      <c r="N91" s="177"/>
      <c r="O91" s="46"/>
      <c r="P91" s="46"/>
      <c r="Q91" s="46"/>
      <c r="R91" s="46"/>
      <c r="S91" s="2"/>
      <c r="T91" s="11"/>
      <c r="U91" s="48"/>
      <c r="V91" s="48"/>
      <c r="W91" s="11"/>
      <c r="X91" s="11"/>
      <c r="Y91" s="11"/>
      <c r="Z91" s="11"/>
      <c r="AA91" s="2"/>
      <c r="AB91" s="2"/>
      <c r="AC91" s="2"/>
      <c r="AD91" s="177"/>
      <c r="AE91" s="46"/>
      <c r="AF91" s="46"/>
      <c r="AG91" s="46"/>
      <c r="AH91" s="46"/>
      <c r="AI91" s="2"/>
      <c r="AJ91" s="177"/>
      <c r="AK91" s="177"/>
      <c r="AL91" s="177"/>
      <c r="AM91" s="191"/>
      <c r="AN91" s="2"/>
    </row>
    <row r="92" spans="1:40" ht="15" customHeight="1">
      <c r="A92" s="2"/>
      <c r="B92" s="2"/>
      <c r="C92" s="2"/>
      <c r="D92" s="2"/>
      <c r="E92" s="1"/>
      <c r="F92" s="1"/>
      <c r="G92" s="2"/>
      <c r="H92" s="8"/>
      <c r="I92" s="39"/>
      <c r="J92" s="2"/>
      <c r="K92" s="2"/>
      <c r="L92" s="2"/>
      <c r="M92" s="2"/>
      <c r="N92" s="177"/>
      <c r="O92" s="46"/>
      <c r="P92" s="46"/>
      <c r="Q92" s="46"/>
      <c r="R92" s="46"/>
      <c r="S92" s="2"/>
      <c r="T92" s="11"/>
      <c r="U92" s="48"/>
      <c r="V92" s="48"/>
      <c r="W92" s="11"/>
      <c r="X92" s="11"/>
      <c r="Y92" s="11"/>
      <c r="Z92" s="11"/>
      <c r="AA92" s="2"/>
      <c r="AB92" s="2"/>
      <c r="AC92" s="2"/>
      <c r="AD92" s="177"/>
      <c r="AE92" s="46"/>
      <c r="AF92" s="46"/>
      <c r="AG92" s="46"/>
      <c r="AH92" s="46"/>
      <c r="AI92" s="2"/>
      <c r="AJ92" s="177"/>
      <c r="AK92" s="177"/>
      <c r="AL92" s="177"/>
      <c r="AM92" s="191"/>
      <c r="AN92" s="2"/>
    </row>
    <row r="93" spans="1:40" ht="15" customHeight="1">
      <c r="A93" s="2"/>
      <c r="B93" s="2"/>
      <c r="C93" s="2"/>
      <c r="D93" s="2"/>
      <c r="E93" s="1"/>
      <c r="F93" s="1"/>
      <c r="G93" s="2"/>
      <c r="H93" s="8"/>
      <c r="I93" s="39"/>
      <c r="J93" s="2"/>
      <c r="K93" s="2"/>
      <c r="L93" s="2"/>
      <c r="M93" s="2"/>
      <c r="N93" s="177"/>
      <c r="O93" s="46"/>
      <c r="P93" s="46"/>
      <c r="Q93" s="46"/>
      <c r="R93" s="46"/>
      <c r="S93" s="2"/>
      <c r="T93" s="11"/>
      <c r="U93" s="48"/>
      <c r="V93" s="48"/>
      <c r="W93" s="11"/>
      <c r="X93" s="11"/>
      <c r="Y93" s="11"/>
      <c r="Z93" s="11"/>
      <c r="AA93" s="2"/>
      <c r="AB93" s="2"/>
      <c r="AC93" s="2"/>
      <c r="AD93" s="177"/>
      <c r="AE93" s="46"/>
      <c r="AF93" s="46"/>
      <c r="AG93" s="46"/>
      <c r="AH93" s="46"/>
      <c r="AI93" s="2"/>
      <c r="AJ93" s="177"/>
      <c r="AK93" s="177"/>
      <c r="AL93" s="177"/>
      <c r="AM93" s="191"/>
      <c r="AN93" s="2"/>
    </row>
    <row r="94" spans="1:40" ht="15" customHeight="1">
      <c r="A94" s="2"/>
      <c r="B94" s="2"/>
      <c r="C94" s="2"/>
      <c r="D94" s="2"/>
      <c r="E94" s="1"/>
      <c r="F94" s="1"/>
      <c r="G94" s="2"/>
      <c r="H94" s="8"/>
      <c r="I94" s="39"/>
      <c r="J94" s="2"/>
      <c r="K94" s="2"/>
      <c r="L94" s="2"/>
      <c r="M94" s="2"/>
      <c r="N94" s="177"/>
      <c r="O94" s="46"/>
      <c r="P94" s="46"/>
      <c r="Q94" s="46"/>
      <c r="R94" s="46"/>
      <c r="S94" s="2"/>
      <c r="T94" s="11"/>
      <c r="U94" s="48"/>
      <c r="V94" s="48"/>
      <c r="W94" s="11"/>
      <c r="X94" s="11"/>
      <c r="Y94" s="11"/>
      <c r="Z94" s="11"/>
      <c r="AA94" s="2"/>
      <c r="AB94" s="2"/>
      <c r="AC94" s="2"/>
      <c r="AD94" s="177"/>
      <c r="AE94" s="46"/>
      <c r="AF94" s="46"/>
      <c r="AG94" s="46"/>
      <c r="AH94" s="46"/>
      <c r="AI94" s="2"/>
      <c r="AJ94" s="177"/>
      <c r="AK94" s="177"/>
      <c r="AL94" s="177"/>
      <c r="AM94" s="191"/>
      <c r="AN94" s="2"/>
    </row>
    <row r="95" spans="1:40" ht="15" customHeight="1">
      <c r="A95" s="2"/>
      <c r="B95" s="2"/>
      <c r="C95" s="2"/>
      <c r="D95" s="2"/>
      <c r="E95" s="1"/>
      <c r="F95" s="1"/>
      <c r="G95" s="2"/>
      <c r="H95" s="8"/>
      <c r="I95" s="39"/>
      <c r="J95" s="2"/>
      <c r="K95" s="2"/>
      <c r="L95" s="2"/>
      <c r="M95" s="2"/>
      <c r="N95" s="177"/>
      <c r="O95" s="46"/>
      <c r="P95" s="46"/>
      <c r="Q95" s="46"/>
      <c r="R95" s="46"/>
      <c r="S95" s="2"/>
      <c r="T95" s="11"/>
      <c r="U95" s="48"/>
      <c r="V95" s="48"/>
      <c r="W95" s="11"/>
      <c r="X95" s="11"/>
      <c r="Y95" s="11"/>
      <c r="Z95" s="11"/>
      <c r="AA95" s="2"/>
      <c r="AB95" s="2"/>
      <c r="AC95" s="2"/>
      <c r="AD95" s="177"/>
      <c r="AE95" s="46"/>
      <c r="AF95" s="46"/>
      <c r="AG95" s="46"/>
      <c r="AH95" s="46"/>
      <c r="AI95" s="2"/>
      <c r="AJ95" s="177"/>
      <c r="AK95" s="177"/>
      <c r="AL95" s="177"/>
      <c r="AM95" s="191"/>
      <c r="AN95" s="2"/>
    </row>
    <row r="96" spans="1:40" ht="15" customHeight="1">
      <c r="A96" s="2"/>
      <c r="B96" s="2"/>
      <c r="C96" s="2"/>
      <c r="D96" s="2"/>
      <c r="E96" s="1"/>
      <c r="F96" s="1"/>
      <c r="G96" s="2"/>
      <c r="H96" s="8"/>
      <c r="J96" s="2"/>
      <c r="K96" s="2"/>
      <c r="L96" s="2"/>
      <c r="M96" s="2"/>
      <c r="N96" s="177"/>
      <c r="O96" s="46"/>
      <c r="P96" s="46"/>
      <c r="Q96" s="46"/>
      <c r="R96" s="46"/>
      <c r="S96" s="2"/>
      <c r="T96" s="11"/>
      <c r="U96" s="48"/>
      <c r="V96" s="48"/>
      <c r="W96" s="11"/>
      <c r="X96" s="11"/>
      <c r="Y96" s="11"/>
      <c r="Z96" s="11"/>
      <c r="AA96" s="2"/>
      <c r="AB96" s="2"/>
      <c r="AC96" s="2"/>
      <c r="AD96" s="177"/>
      <c r="AE96" s="46"/>
      <c r="AF96" s="46"/>
      <c r="AG96" s="46"/>
      <c r="AH96" s="46"/>
      <c r="AI96" s="2"/>
      <c r="AJ96" s="177"/>
      <c r="AK96" s="177"/>
      <c r="AL96" s="177"/>
      <c r="AM96" s="191"/>
      <c r="AN96" s="2"/>
    </row>
    <row r="97" spans="1:40" ht="15" customHeight="1">
      <c r="A97" s="2"/>
      <c r="B97" s="2"/>
      <c r="C97" s="2"/>
      <c r="D97" s="2"/>
      <c r="E97" s="1"/>
      <c r="F97" s="1"/>
      <c r="G97" s="2"/>
      <c r="H97" s="8"/>
      <c r="J97" s="2"/>
      <c r="K97" s="2"/>
      <c r="L97" s="2"/>
      <c r="M97" s="2"/>
      <c r="N97" s="177"/>
      <c r="O97" s="46"/>
      <c r="P97" s="46"/>
      <c r="Q97" s="46"/>
      <c r="R97" s="46"/>
      <c r="S97" s="2"/>
      <c r="T97" s="11"/>
      <c r="U97" s="48"/>
      <c r="V97" s="48"/>
      <c r="W97" s="11"/>
      <c r="X97" s="11"/>
      <c r="Y97" s="11"/>
      <c r="Z97" s="11"/>
      <c r="AA97" s="2"/>
      <c r="AB97" s="2"/>
      <c r="AC97" s="2"/>
      <c r="AD97" s="177"/>
      <c r="AE97" s="46"/>
      <c r="AF97" s="46"/>
      <c r="AG97" s="46"/>
      <c r="AH97" s="46"/>
      <c r="AI97" s="2"/>
      <c r="AJ97" s="177"/>
      <c r="AK97" s="177"/>
      <c r="AL97" s="177"/>
      <c r="AM97" s="191"/>
      <c r="AN97" s="2"/>
    </row>
    <row r="98" spans="1:40" ht="15" customHeight="1">
      <c r="A98" s="2"/>
      <c r="B98" s="2"/>
      <c r="C98" s="2"/>
      <c r="D98" s="2"/>
      <c r="E98" s="1"/>
      <c r="F98" s="1"/>
      <c r="G98" s="2"/>
      <c r="H98" s="8"/>
      <c r="I98" s="11"/>
      <c r="J98" s="2"/>
      <c r="K98" s="2"/>
      <c r="L98" s="2"/>
      <c r="M98" s="2"/>
      <c r="N98" s="177"/>
      <c r="O98" s="46"/>
      <c r="P98" s="46"/>
      <c r="Q98" s="46"/>
      <c r="R98" s="46"/>
      <c r="S98" s="2"/>
      <c r="T98" s="11"/>
      <c r="U98" s="48"/>
      <c r="V98" s="48"/>
      <c r="W98" s="11"/>
      <c r="X98" s="11"/>
      <c r="Y98" s="11"/>
      <c r="Z98" s="11"/>
      <c r="AA98" s="2"/>
      <c r="AB98" s="2"/>
      <c r="AC98" s="2"/>
      <c r="AD98" s="177"/>
      <c r="AE98" s="46"/>
      <c r="AF98" s="46"/>
      <c r="AG98" s="46"/>
      <c r="AH98" s="46"/>
      <c r="AI98" s="2"/>
      <c r="AJ98" s="177"/>
      <c r="AK98" s="177"/>
      <c r="AL98" s="177"/>
      <c r="AM98" s="191"/>
      <c r="AN98" s="2"/>
    </row>
    <row r="99" spans="1:40" ht="15" customHeight="1">
      <c r="A99" s="2"/>
      <c r="B99" s="2"/>
      <c r="C99" s="2"/>
      <c r="D99" s="2"/>
      <c r="E99" s="1"/>
      <c r="F99" s="1"/>
      <c r="G99" s="2"/>
      <c r="H99" s="8"/>
      <c r="I99" s="11"/>
      <c r="J99" s="2"/>
      <c r="K99" s="2"/>
      <c r="L99" s="2"/>
      <c r="M99" s="2"/>
      <c r="N99" s="177"/>
      <c r="O99" s="46"/>
      <c r="P99" s="46"/>
      <c r="Q99" s="46"/>
      <c r="R99" s="46"/>
      <c r="S99" s="2"/>
      <c r="T99" s="11"/>
      <c r="U99" s="48"/>
      <c r="V99" s="48"/>
      <c r="W99" s="11"/>
      <c r="X99" s="11"/>
      <c r="Y99" s="11"/>
      <c r="Z99" s="11"/>
      <c r="AA99" s="2"/>
      <c r="AB99" s="2"/>
      <c r="AC99" s="2"/>
      <c r="AD99" s="177"/>
      <c r="AE99" s="46"/>
      <c r="AF99" s="46"/>
      <c r="AG99" s="46"/>
      <c r="AH99" s="46"/>
      <c r="AI99" s="2"/>
      <c r="AJ99" s="177"/>
      <c r="AK99" s="177"/>
      <c r="AL99" s="177"/>
      <c r="AM99" s="191"/>
      <c r="AN99" s="2"/>
    </row>
    <row r="100" spans="1:40" ht="15" customHeight="1">
      <c r="A100" s="2"/>
      <c r="B100" s="2"/>
      <c r="C100" s="2"/>
      <c r="D100" s="2"/>
      <c r="E100" s="1"/>
      <c r="F100" s="2"/>
      <c r="G100" s="2"/>
      <c r="H100" s="8"/>
      <c r="I100" s="11"/>
      <c r="J100" s="2"/>
      <c r="K100" s="2"/>
      <c r="L100" s="2"/>
      <c r="M100" s="2"/>
      <c r="N100" s="177"/>
      <c r="O100" s="46"/>
      <c r="P100" s="46"/>
      <c r="Q100" s="46"/>
      <c r="R100" s="46"/>
      <c r="S100" s="2"/>
      <c r="T100" s="11"/>
      <c r="U100" s="48"/>
      <c r="V100" s="48"/>
      <c r="W100" s="11"/>
      <c r="X100" s="11"/>
      <c r="Y100" s="11"/>
      <c r="Z100" s="11"/>
      <c r="AA100" s="2"/>
      <c r="AB100" s="2"/>
      <c r="AC100" s="2"/>
      <c r="AD100" s="177"/>
      <c r="AE100" s="46"/>
      <c r="AF100" s="46"/>
      <c r="AG100" s="46"/>
      <c r="AH100" s="46"/>
      <c r="AI100" s="2"/>
      <c r="AJ100" s="177"/>
      <c r="AK100" s="177"/>
      <c r="AL100" s="177"/>
      <c r="AM100" s="191"/>
      <c r="AN100" s="2"/>
    </row>
    <row r="101" spans="21:22" ht="15" customHeight="1">
      <c r="U101" s="47"/>
      <c r="V101" s="47"/>
    </row>
    <row r="102" spans="21:22" ht="15" customHeight="1">
      <c r="U102" s="47"/>
      <c r="V102" s="47"/>
    </row>
    <row r="103" spans="21:22" ht="15" customHeight="1">
      <c r="U103" s="47"/>
      <c r="V103" s="47"/>
    </row>
    <row r="104" spans="21:22" ht="15" customHeight="1">
      <c r="U104" s="47"/>
      <c r="V104" s="47"/>
    </row>
    <row r="105" spans="21:22" ht="15" customHeight="1">
      <c r="U105" s="47"/>
      <c r="V105" s="47"/>
    </row>
    <row r="106" spans="21:22" ht="15" customHeight="1">
      <c r="U106" s="47"/>
      <c r="V106" s="47"/>
    </row>
    <row r="107" spans="21:22" ht="15" customHeight="1">
      <c r="U107" s="47"/>
      <c r="V107" s="47"/>
    </row>
    <row r="108" spans="21:22" ht="15" customHeight="1">
      <c r="U108" s="47"/>
      <c r="V108" s="47"/>
    </row>
    <row r="109" spans="21:22" ht="15" customHeight="1">
      <c r="U109" s="47"/>
      <c r="V109" s="47"/>
    </row>
    <row r="110" spans="21:22" ht="15" customHeight="1">
      <c r="U110" s="47"/>
      <c r="V110" s="47"/>
    </row>
    <row r="111" spans="21:22" ht="15" customHeight="1">
      <c r="U111" s="47"/>
      <c r="V111" s="47"/>
    </row>
    <row r="112" spans="21:22" ht="15" customHeight="1">
      <c r="U112" s="47"/>
      <c r="V112" s="47"/>
    </row>
    <row r="113" spans="21:22" ht="15" customHeight="1">
      <c r="U113" s="47"/>
      <c r="V113" s="47"/>
    </row>
    <row r="114" spans="21:22" ht="15" customHeight="1">
      <c r="U114" s="47"/>
      <c r="V114" s="47"/>
    </row>
    <row r="115" spans="21:22" ht="15" customHeight="1">
      <c r="U115" s="47"/>
      <c r="V115" s="47"/>
    </row>
    <row r="116" spans="21:22" ht="15" customHeight="1">
      <c r="U116" s="47"/>
      <c r="V116" s="47"/>
    </row>
    <row r="117" spans="21:22" ht="15" customHeight="1">
      <c r="U117" s="47"/>
      <c r="V117" s="47"/>
    </row>
    <row r="118" spans="21:22" ht="15" customHeight="1">
      <c r="U118" s="47"/>
      <c r="V118" s="47"/>
    </row>
    <row r="119" spans="21:22" ht="15" customHeight="1">
      <c r="U119" s="47"/>
      <c r="V119" s="47"/>
    </row>
    <row r="120" spans="21:22" ht="15" customHeight="1">
      <c r="U120" s="47"/>
      <c r="V120" s="47"/>
    </row>
    <row r="121" spans="21:22" ht="15" customHeight="1">
      <c r="U121" s="47"/>
      <c r="V121" s="47"/>
    </row>
    <row r="122" spans="21:22" ht="15" customHeight="1">
      <c r="U122" s="47"/>
      <c r="V122" s="47"/>
    </row>
    <row r="123" spans="21:22" ht="15" customHeight="1">
      <c r="U123" s="47"/>
      <c r="V123" s="47"/>
    </row>
    <row r="124" spans="21:22" ht="15" customHeight="1">
      <c r="U124" s="47"/>
      <c r="V124" s="47"/>
    </row>
    <row r="125" spans="21:22" ht="15" customHeight="1">
      <c r="U125" s="47"/>
      <c r="V125" s="47"/>
    </row>
    <row r="126" spans="21:22" ht="15" customHeight="1">
      <c r="U126" s="47"/>
      <c r="V126" s="47"/>
    </row>
    <row r="127" spans="21:22" ht="15" customHeight="1">
      <c r="U127" s="47"/>
      <c r="V127" s="47"/>
    </row>
    <row r="128" spans="21:22" ht="15" customHeight="1">
      <c r="U128" s="47"/>
      <c r="V128" s="47"/>
    </row>
    <row r="129" spans="21:22" ht="15" customHeight="1">
      <c r="U129" s="47"/>
      <c r="V129" s="47"/>
    </row>
    <row r="130" spans="21:22" ht="15" customHeight="1">
      <c r="U130" s="47"/>
      <c r="V130" s="47"/>
    </row>
    <row r="131" spans="21:22" ht="15" customHeight="1">
      <c r="U131" s="47"/>
      <c r="V131" s="47"/>
    </row>
    <row r="132" spans="21:22" ht="15" customHeight="1">
      <c r="U132" s="47"/>
      <c r="V132" s="47"/>
    </row>
    <row r="133" spans="21:22" ht="15" customHeight="1">
      <c r="U133" s="47"/>
      <c r="V133" s="47"/>
    </row>
    <row r="134" spans="21:22" ht="15" customHeight="1">
      <c r="U134" s="47"/>
      <c r="V134" s="47"/>
    </row>
    <row r="135" spans="21:22" ht="15" customHeight="1">
      <c r="U135" s="47"/>
      <c r="V135" s="47"/>
    </row>
    <row r="136" spans="21:22" ht="15" customHeight="1">
      <c r="U136" s="47"/>
      <c r="V136" s="47"/>
    </row>
    <row r="137" spans="21:22" ht="15" customHeight="1">
      <c r="U137" s="47"/>
      <c r="V137" s="47"/>
    </row>
    <row r="138" spans="21:22" ht="15" customHeight="1">
      <c r="U138" s="47"/>
      <c r="V138" s="47"/>
    </row>
    <row r="139" spans="21:22" ht="15" customHeight="1">
      <c r="U139" s="47"/>
      <c r="V139" s="47"/>
    </row>
    <row r="140" spans="21:22" ht="15" customHeight="1">
      <c r="U140" s="47"/>
      <c r="V140" s="47"/>
    </row>
    <row r="141" spans="21:22" ht="15" customHeight="1">
      <c r="U141" s="47"/>
      <c r="V141" s="47"/>
    </row>
    <row r="142" spans="21:22" ht="15" customHeight="1">
      <c r="U142" s="47"/>
      <c r="V142" s="47"/>
    </row>
    <row r="143" spans="21:22" ht="15" customHeight="1">
      <c r="U143" s="47"/>
      <c r="V143" s="47"/>
    </row>
    <row r="144" spans="21:22" ht="15" customHeight="1">
      <c r="U144" s="47"/>
      <c r="V144" s="47"/>
    </row>
    <row r="145" spans="21:22" ht="15" customHeight="1">
      <c r="U145" s="47"/>
      <c r="V145" s="47"/>
    </row>
    <row r="146" spans="21:22" ht="15" customHeight="1">
      <c r="U146" s="47"/>
      <c r="V146" s="47"/>
    </row>
    <row r="147" spans="21:22" ht="15" customHeight="1">
      <c r="U147" s="47"/>
      <c r="V147" s="47"/>
    </row>
    <row r="148" spans="21:22" ht="15" customHeight="1">
      <c r="U148" s="47"/>
      <c r="V148" s="47"/>
    </row>
    <row r="149" spans="21:22" ht="15" customHeight="1">
      <c r="U149" s="47"/>
      <c r="V149" s="47"/>
    </row>
    <row r="150" spans="21:22" ht="15" customHeight="1">
      <c r="U150" s="47"/>
      <c r="V150" s="47"/>
    </row>
    <row r="151" spans="21:22" ht="15" customHeight="1">
      <c r="U151" s="47"/>
      <c r="V151" s="47"/>
    </row>
    <row r="152" spans="21:22" ht="15" customHeight="1">
      <c r="U152" s="47"/>
      <c r="V152" s="47"/>
    </row>
    <row r="153" spans="21:22" ht="15" customHeight="1">
      <c r="U153" s="47"/>
      <c r="V153" s="47"/>
    </row>
    <row r="154" spans="21:22" ht="15" customHeight="1">
      <c r="U154" s="47"/>
      <c r="V154" s="47"/>
    </row>
    <row r="155" spans="21:22" ht="15" customHeight="1">
      <c r="U155" s="47"/>
      <c r="V155" s="47"/>
    </row>
    <row r="156" spans="21:22" ht="15" customHeight="1">
      <c r="U156" s="47"/>
      <c r="V156" s="47"/>
    </row>
    <row r="157" spans="21:22" ht="15" customHeight="1">
      <c r="U157" s="47"/>
      <c r="V157" s="47"/>
    </row>
    <row r="158" spans="21:22" ht="15" customHeight="1">
      <c r="U158" s="47"/>
      <c r="V158" s="47"/>
    </row>
    <row r="159" spans="21:22" ht="15" customHeight="1">
      <c r="U159" s="47"/>
      <c r="V159" s="47"/>
    </row>
    <row r="160" spans="21:22" ht="15" customHeight="1">
      <c r="U160" s="47"/>
      <c r="V160" s="47"/>
    </row>
    <row r="161" spans="21:22" ht="15" customHeight="1">
      <c r="U161" s="47"/>
      <c r="V161" s="47"/>
    </row>
    <row r="162" spans="21:22" ht="15" customHeight="1">
      <c r="U162" s="47"/>
      <c r="V162" s="47"/>
    </row>
  </sheetData>
  <mergeCells count="2">
    <mergeCell ref="T4:U4"/>
    <mergeCell ref="AJ4:AK4"/>
  </mergeCells>
  <conditionalFormatting sqref="AB8:AB68 L8:L68">
    <cfRule type="cellIs" priority="1" dxfId="0" operator="greaterThan" stopIfTrue="1">
      <formula>0.75</formula>
    </cfRule>
  </conditionalFormatting>
  <printOptions gridLines="1"/>
  <pageMargins left="0.5" right="0.5" top="0.5" bottom="0.55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Di Véroli</dc:creator>
  <cp:keywords/>
  <dc:description/>
  <cp:lastModifiedBy> </cp:lastModifiedBy>
  <cp:lastPrinted>2010-08-31T16:46:44Z</cp:lastPrinted>
  <dcterms:created xsi:type="dcterms:W3CDTF">2023-06-18T11:00:58Z</dcterms:created>
  <dcterms:modified xsi:type="dcterms:W3CDTF">2023-06-18T11:18:45Z</dcterms:modified>
  <cp:category/>
  <cp:version/>
  <cp:contentType/>
  <cp:contentStatus/>
</cp:coreProperties>
</file>